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260" yWindow="780" windowWidth="10335" windowHeight="7140" activeTab="1"/>
  </bookViews>
  <sheets>
    <sheet name="дрова" sheetId="4" r:id="rId1"/>
    <sheet name="электро" sheetId="5" r:id="rId2"/>
    <sheet name="тепло" sheetId="6" r:id="rId3"/>
    <sheet name="вода" sheetId="7" r:id="rId4"/>
  </sheets>
  <definedNames>
    <definedName name="_xlnm.Print_Area" localSheetId="1">электро!$A$1:$CH$72</definedName>
  </definedNames>
  <calcPr calcId="145621"/>
</workbook>
</file>

<file path=xl/calcChain.xml><?xml version="1.0" encoding="utf-8"?>
<calcChain xmlns="http://schemas.openxmlformats.org/spreadsheetml/2006/main">
  <c r="BH61" i="6" l="1"/>
  <c r="BD61" i="6"/>
  <c r="BH56" i="6"/>
  <c r="BB56" i="6"/>
  <c r="BH36" i="6"/>
  <c r="BE36" i="6"/>
  <c r="BG36" i="6" s="1"/>
  <c r="BH22" i="6"/>
  <c r="BG22" i="6"/>
  <c r="BG64" i="6"/>
  <c r="BF64" i="6"/>
  <c r="BF36" i="6"/>
  <c r="AW34" i="4"/>
  <c r="AW33" i="4"/>
  <c r="AV34" i="4"/>
  <c r="AV33" i="4"/>
  <c r="AW39" i="4"/>
  <c r="AV39" i="4"/>
  <c r="AW35" i="4"/>
  <c r="AV35" i="4"/>
  <c r="AW30" i="4"/>
  <c r="AV30" i="4"/>
  <c r="AS34" i="4" l="1"/>
  <c r="AR34" i="4"/>
  <c r="AS33" i="4"/>
  <c r="AR33" i="4"/>
  <c r="AS29" i="4"/>
  <c r="AS28" i="4"/>
  <c r="AS27" i="4"/>
  <c r="AS26" i="4"/>
  <c r="AS24" i="4"/>
  <c r="AS23" i="4"/>
  <c r="AS22" i="4"/>
  <c r="AS21" i="4"/>
  <c r="AR29" i="4"/>
  <c r="AR28" i="4"/>
  <c r="AR27" i="4"/>
  <c r="AR26" i="4"/>
  <c r="AR24" i="4"/>
  <c r="AR23" i="4"/>
  <c r="AR22" i="4"/>
  <c r="AR21" i="4"/>
  <c r="AS11" i="4"/>
  <c r="AR11" i="4"/>
  <c r="AS9" i="4"/>
  <c r="AR9" i="4"/>
  <c r="AS7" i="4"/>
  <c r="AR7" i="4"/>
  <c r="AS6" i="4"/>
  <c r="AR6" i="4"/>
  <c r="AQ35" i="4" l="1"/>
  <c r="AP35" i="4"/>
  <c r="AU35" i="4"/>
  <c r="AT35" i="4"/>
  <c r="AS35" i="4"/>
  <c r="AR35" i="4"/>
  <c r="AQ30" i="4"/>
  <c r="AP30" i="4"/>
  <c r="AW27" i="4"/>
  <c r="AV27" i="4"/>
  <c r="AW25" i="4"/>
  <c r="AV25" i="4"/>
  <c r="AU30" i="4"/>
  <c r="AT30" i="4"/>
  <c r="AR30" i="4"/>
  <c r="AQ17" i="4"/>
  <c r="AP17" i="4"/>
  <c r="AS16" i="4"/>
  <c r="AR16" i="4"/>
  <c r="AS15" i="4"/>
  <c r="AR15" i="4"/>
  <c r="AS14" i="4"/>
  <c r="AR14" i="4"/>
  <c r="AS12" i="4"/>
  <c r="AR12" i="4"/>
  <c r="AV30" i="7"/>
  <c r="AV29" i="7"/>
  <c r="AV28" i="7"/>
  <c r="AV27" i="7"/>
  <c r="AZ27" i="7" s="1"/>
  <c r="AV26" i="7"/>
  <c r="AV25" i="7"/>
  <c r="AZ25" i="7" s="1"/>
  <c r="AV24" i="7"/>
  <c r="AZ24" i="7" s="1"/>
  <c r="AV23" i="7"/>
  <c r="AV22" i="7"/>
  <c r="AV21" i="7"/>
  <c r="AU30" i="7"/>
  <c r="AU29" i="7"/>
  <c r="AY29" i="7" s="1"/>
  <c r="AU28" i="7"/>
  <c r="AU27" i="7"/>
  <c r="AU26" i="7"/>
  <c r="AU25" i="7"/>
  <c r="AY25" i="7" s="1"/>
  <c r="AU24" i="7"/>
  <c r="AU23" i="7"/>
  <c r="AY23" i="7" s="1"/>
  <c r="AU22" i="7"/>
  <c r="AU21" i="7"/>
  <c r="AV19" i="7"/>
  <c r="AZ19" i="7" s="1"/>
  <c r="AV16" i="7"/>
  <c r="AV15" i="7"/>
  <c r="AV14" i="7"/>
  <c r="AZ14" i="7" s="1"/>
  <c r="AV13" i="7"/>
  <c r="AV12" i="7"/>
  <c r="AV11" i="7"/>
  <c r="AV10" i="7"/>
  <c r="AZ10" i="7" s="1"/>
  <c r="AV18" i="7"/>
  <c r="AZ18" i="7" s="1"/>
  <c r="AZ16" i="7"/>
  <c r="AZ13" i="7"/>
  <c r="AZ12" i="7"/>
  <c r="AV9" i="7"/>
  <c r="AZ9" i="7" s="1"/>
  <c r="AV8" i="7"/>
  <c r="AZ8" i="7" s="1"/>
  <c r="AV6" i="7"/>
  <c r="AV4" i="7"/>
  <c r="AU19" i="7"/>
  <c r="AU18" i="7"/>
  <c r="AY18" i="7" s="1"/>
  <c r="AU16" i="7"/>
  <c r="AU15" i="7"/>
  <c r="AY15" i="7" s="1"/>
  <c r="AU14" i="7"/>
  <c r="AU13" i="7"/>
  <c r="AY13" i="7" s="1"/>
  <c r="AU12" i="7"/>
  <c r="AU11" i="7"/>
  <c r="AY11" i="7" s="1"/>
  <c r="AU10" i="7"/>
  <c r="AU9" i="7"/>
  <c r="AY9" i="7" s="1"/>
  <c r="AU8" i="7"/>
  <c r="AU6" i="7"/>
  <c r="AU4" i="7"/>
  <c r="AZ52" i="7"/>
  <c r="AY52" i="7"/>
  <c r="AZ51" i="7"/>
  <c r="AY51" i="7"/>
  <c r="AZ50" i="7"/>
  <c r="AY50" i="7"/>
  <c r="AZ49" i="7"/>
  <c r="AY49" i="7"/>
  <c r="AZ48" i="7"/>
  <c r="AY48" i="7"/>
  <c r="AZ47" i="7"/>
  <c r="AY47" i="7"/>
  <c r="AZ46" i="7"/>
  <c r="AY46" i="7"/>
  <c r="AZ45" i="7"/>
  <c r="AY45" i="7"/>
  <c r="AV44" i="7"/>
  <c r="AZ44" i="7" s="1"/>
  <c r="AU44" i="7"/>
  <c r="AY44" i="7" s="1"/>
  <c r="AZ43" i="7"/>
  <c r="AY43" i="7"/>
  <c r="AZ42" i="7"/>
  <c r="AY42" i="7"/>
  <c r="AZ41" i="7"/>
  <c r="AY41" i="7"/>
  <c r="AZ40" i="7"/>
  <c r="AY40" i="7"/>
  <c r="AZ39" i="7"/>
  <c r="AY39" i="7"/>
  <c r="AZ38" i="7"/>
  <c r="AY38" i="7"/>
  <c r="AZ37" i="7"/>
  <c r="AY37" i="7"/>
  <c r="AZ36" i="7"/>
  <c r="AY36" i="7"/>
  <c r="AZ35" i="7"/>
  <c r="AY35" i="7"/>
  <c r="AZ34" i="7"/>
  <c r="AY34" i="7"/>
  <c r="AX33" i="7"/>
  <c r="AZ33" i="7" s="1"/>
  <c r="AW33" i="7"/>
  <c r="AY33" i="7" s="1"/>
  <c r="AZ30" i="7"/>
  <c r="AY30" i="7"/>
  <c r="AZ29" i="7"/>
  <c r="AZ28" i="7"/>
  <c r="AY28" i="7"/>
  <c r="AY27" i="7"/>
  <c r="AZ26" i="7"/>
  <c r="AY26" i="7"/>
  <c r="AY24" i="7"/>
  <c r="AZ23" i="7"/>
  <c r="AZ22" i="7"/>
  <c r="AY22" i="7"/>
  <c r="AX31" i="7"/>
  <c r="AW31" i="7"/>
  <c r="AY19" i="7"/>
  <c r="AX17" i="7"/>
  <c r="AW17" i="7"/>
  <c r="AV17" i="7"/>
  <c r="AU17" i="7"/>
  <c r="AY16" i="7"/>
  <c r="AZ15" i="7"/>
  <c r="AY14" i="7"/>
  <c r="AY12" i="7"/>
  <c r="AZ11" i="7"/>
  <c r="AY10" i="7"/>
  <c r="AY8" i="7"/>
  <c r="AV7" i="7"/>
  <c r="AU7" i="7"/>
  <c r="AZ6" i="7"/>
  <c r="AY6" i="7"/>
  <c r="AX5" i="7"/>
  <c r="AW5" i="7"/>
  <c r="AV5" i="7"/>
  <c r="AU5" i="7"/>
  <c r="AX20" i="7"/>
  <c r="AY4" i="7"/>
  <c r="AT52" i="7"/>
  <c r="AS52" i="7"/>
  <c r="AT51" i="7"/>
  <c r="AS51" i="7"/>
  <c r="AT50" i="7"/>
  <c r="AS50" i="7"/>
  <c r="AT49" i="7"/>
  <c r="AS49" i="7"/>
  <c r="AT48" i="7"/>
  <c r="AS48" i="7"/>
  <c r="AT47" i="7"/>
  <c r="AS47" i="7"/>
  <c r="AT46" i="7"/>
  <c r="AS46" i="7"/>
  <c r="AT45" i="7"/>
  <c r="AS45" i="7"/>
  <c r="AP44" i="7"/>
  <c r="AT44" i="7" s="1"/>
  <c r="AO44" i="7"/>
  <c r="AS44" i="7" s="1"/>
  <c r="AT43" i="7"/>
  <c r="AS43" i="7"/>
  <c r="AT42" i="7"/>
  <c r="AS42" i="7"/>
  <c r="AT41" i="7"/>
  <c r="AS41" i="7"/>
  <c r="AT40" i="7"/>
  <c r="AS40" i="7"/>
  <c r="AT39" i="7"/>
  <c r="AS39" i="7"/>
  <c r="AT38" i="7"/>
  <c r="AS38" i="7"/>
  <c r="AT37" i="7"/>
  <c r="AS37" i="7"/>
  <c r="AT36" i="7"/>
  <c r="AS36" i="7"/>
  <c r="AT35" i="7"/>
  <c r="AS35" i="7"/>
  <c r="AT34" i="7"/>
  <c r="AS34" i="7"/>
  <c r="AT33" i="7"/>
  <c r="AS33" i="7"/>
  <c r="AR31" i="7"/>
  <c r="AQ31" i="7"/>
  <c r="AT30" i="7"/>
  <c r="AS30" i="7"/>
  <c r="AT29" i="7"/>
  <c r="AS29" i="7"/>
  <c r="AP31" i="7"/>
  <c r="AO31" i="7"/>
  <c r="AT27" i="7"/>
  <c r="AS27" i="7"/>
  <c r="AT26" i="7"/>
  <c r="AS26" i="7"/>
  <c r="AT25" i="7"/>
  <c r="AS25" i="7"/>
  <c r="AT24" i="7"/>
  <c r="AS24" i="7"/>
  <c r="AT23" i="7"/>
  <c r="AS23" i="7"/>
  <c r="AT22" i="7"/>
  <c r="AS22" i="7"/>
  <c r="AT21" i="7"/>
  <c r="AS21" i="7"/>
  <c r="AR20" i="7"/>
  <c r="AR53" i="7" s="1"/>
  <c r="AQ20" i="7"/>
  <c r="AQ53" i="7" s="1"/>
  <c r="AP20" i="7"/>
  <c r="AO20" i="7"/>
  <c r="AO53" i="7" s="1"/>
  <c r="AT19" i="7"/>
  <c r="AS19" i="7"/>
  <c r="AT18" i="7"/>
  <c r="AS18" i="7"/>
  <c r="AT16" i="7"/>
  <c r="AS16" i="7"/>
  <c r="AT15" i="7"/>
  <c r="AS15" i="7"/>
  <c r="AT14" i="7"/>
  <c r="AS14" i="7"/>
  <c r="AT13" i="7"/>
  <c r="AS13" i="7"/>
  <c r="AT12" i="7"/>
  <c r="AS12" i="7"/>
  <c r="AT11" i="7"/>
  <c r="AS11" i="7"/>
  <c r="AT10" i="7"/>
  <c r="AS10" i="7"/>
  <c r="AT9" i="7"/>
  <c r="AS9" i="7"/>
  <c r="AT8" i="7"/>
  <c r="AS8" i="7"/>
  <c r="AT6" i="7"/>
  <c r="AS6" i="7"/>
  <c r="AT4" i="7"/>
  <c r="AS4" i="7"/>
  <c r="BC20" i="6"/>
  <c r="BC19" i="6"/>
  <c r="BG19" i="6" s="1"/>
  <c r="BC18" i="6"/>
  <c r="BG18" i="6" s="1"/>
  <c r="BC17" i="6"/>
  <c r="BC16" i="6"/>
  <c r="BC15" i="6"/>
  <c r="BG15" i="6" s="1"/>
  <c r="BC14" i="6"/>
  <c r="BG14" i="6" s="1"/>
  <c r="BC13" i="6"/>
  <c r="BC12" i="6"/>
  <c r="BC11" i="6"/>
  <c r="BG11" i="6" s="1"/>
  <c r="BC10" i="6"/>
  <c r="BG10" i="6" s="1"/>
  <c r="BC9" i="6"/>
  <c r="BG9" i="6" s="1"/>
  <c r="BC8" i="6"/>
  <c r="BC7" i="6"/>
  <c r="BG7" i="6" s="1"/>
  <c r="BC21" i="6"/>
  <c r="BC35" i="6"/>
  <c r="BC34" i="6"/>
  <c r="BG34" i="6" s="1"/>
  <c r="BC33" i="6"/>
  <c r="BG33" i="6" s="1"/>
  <c r="BC32" i="6"/>
  <c r="BG32" i="6" s="1"/>
  <c r="BC31" i="6"/>
  <c r="BC30" i="6"/>
  <c r="BG30" i="6"/>
  <c r="BC29" i="6"/>
  <c r="BC28" i="6"/>
  <c r="BC27" i="6"/>
  <c r="BC26" i="6"/>
  <c r="BC53" i="6"/>
  <c r="BG53" i="6" s="1"/>
  <c r="BC52" i="6"/>
  <c r="BG52" i="6" s="1"/>
  <c r="BC51" i="6"/>
  <c r="BG51" i="6" s="1"/>
  <c r="BC50" i="6"/>
  <c r="BC49" i="6"/>
  <c r="BG49" i="6" s="1"/>
  <c r="BC48" i="6"/>
  <c r="BG48" i="6" s="1"/>
  <c r="BC47" i="6"/>
  <c r="BG47" i="6" s="1"/>
  <c r="BC46" i="6"/>
  <c r="BC45" i="6"/>
  <c r="BG45" i="6" s="1"/>
  <c r="BC44" i="6"/>
  <c r="BG44" i="6" s="1"/>
  <c r="BC43" i="6"/>
  <c r="BC42" i="6"/>
  <c r="BC41" i="6"/>
  <c r="BG41" i="6" s="1"/>
  <c r="BC40" i="6"/>
  <c r="BC39" i="6"/>
  <c r="BC38" i="6"/>
  <c r="BC54" i="6"/>
  <c r="BG54" i="6" s="1"/>
  <c r="BC55" i="6"/>
  <c r="BC58" i="6"/>
  <c r="BB58" i="6"/>
  <c r="BF58" i="6" s="1"/>
  <c r="BB55" i="6"/>
  <c r="BF55" i="6" s="1"/>
  <c r="BB54" i="6"/>
  <c r="BB53" i="6"/>
  <c r="BF53" i="6" s="1"/>
  <c r="BB52" i="6"/>
  <c r="BB51" i="6"/>
  <c r="BF51" i="6" s="1"/>
  <c r="BB50" i="6"/>
  <c r="BB49" i="6"/>
  <c r="BF49" i="6" s="1"/>
  <c r="BB48" i="6"/>
  <c r="BF48" i="6" s="1"/>
  <c r="BB47" i="6"/>
  <c r="BF47" i="6" s="1"/>
  <c r="BB46" i="6"/>
  <c r="BB45" i="6"/>
  <c r="BF45" i="6" s="1"/>
  <c r="BB44" i="6"/>
  <c r="BF44" i="6" s="1"/>
  <c r="BB43" i="6"/>
  <c r="BF43" i="6" s="1"/>
  <c r="BB41" i="6"/>
  <c r="BF41" i="6" s="1"/>
  <c r="BB40" i="6"/>
  <c r="BF40" i="6" s="1"/>
  <c r="BB39" i="6"/>
  <c r="BB38" i="6"/>
  <c r="BB35" i="6"/>
  <c r="BB34" i="6"/>
  <c r="BF34" i="6" s="1"/>
  <c r="BB33" i="6"/>
  <c r="BF33" i="6"/>
  <c r="BB32" i="6"/>
  <c r="BB31" i="6"/>
  <c r="BF31" i="6" s="1"/>
  <c r="BB30" i="6"/>
  <c r="BB29" i="6"/>
  <c r="BF29" i="6" s="1"/>
  <c r="BB28" i="6"/>
  <c r="BB27" i="6"/>
  <c r="BF27" i="6" s="1"/>
  <c r="BB26" i="6"/>
  <c r="BB21" i="6"/>
  <c r="BF21" i="6" s="1"/>
  <c r="BB20" i="6"/>
  <c r="BB19" i="6"/>
  <c r="BF19" i="6" s="1"/>
  <c r="BB18" i="6"/>
  <c r="BB17" i="6"/>
  <c r="BF17" i="6" s="1"/>
  <c r="BB16" i="6"/>
  <c r="BB15" i="6"/>
  <c r="BF15" i="6" s="1"/>
  <c r="BB14" i="6"/>
  <c r="BB13" i="6"/>
  <c r="BF13" i="6" s="1"/>
  <c r="BB12" i="6"/>
  <c r="BB11" i="6"/>
  <c r="BF11" i="6" s="1"/>
  <c r="BB10" i="6"/>
  <c r="BB9" i="6"/>
  <c r="BB8" i="6"/>
  <c r="BB7" i="6"/>
  <c r="BG58" i="6"/>
  <c r="BE56" i="6"/>
  <c r="BD56" i="6"/>
  <c r="BG55" i="6"/>
  <c r="BF54" i="6"/>
  <c r="BF52" i="6"/>
  <c r="BG50" i="6"/>
  <c r="BF50" i="6"/>
  <c r="BG46" i="6"/>
  <c r="BF46" i="6"/>
  <c r="BG43" i="6"/>
  <c r="BG40" i="6"/>
  <c r="BG38" i="6"/>
  <c r="BF38" i="6"/>
  <c r="BD36" i="6"/>
  <c r="BG35" i="6"/>
  <c r="BF35" i="6"/>
  <c r="BF32" i="6"/>
  <c r="BG31" i="6"/>
  <c r="BF30" i="6"/>
  <c r="BG29" i="6"/>
  <c r="BG28" i="6"/>
  <c r="BF28" i="6"/>
  <c r="BG27" i="6"/>
  <c r="BG26" i="6"/>
  <c r="BE22" i="6"/>
  <c r="BE61" i="6" s="1"/>
  <c r="BD22" i="6"/>
  <c r="BG21" i="6"/>
  <c r="BG20" i="6"/>
  <c r="BF20" i="6"/>
  <c r="BF18" i="6"/>
  <c r="BG17" i="6"/>
  <c r="BG16" i="6"/>
  <c r="BF16" i="6"/>
  <c r="BF14" i="6"/>
  <c r="BG13" i="6"/>
  <c r="BG12" i="6"/>
  <c r="BF12" i="6"/>
  <c r="BF9" i="6"/>
  <c r="BG8" i="6"/>
  <c r="BF8" i="6"/>
  <c r="BF7" i="6"/>
  <c r="BA64" i="6"/>
  <c r="AZ64" i="6"/>
  <c r="BA58" i="6"/>
  <c r="AZ58" i="6"/>
  <c r="BA55" i="6"/>
  <c r="AZ55" i="6"/>
  <c r="BA54" i="6"/>
  <c r="AZ54" i="6"/>
  <c r="BA53" i="6"/>
  <c r="AZ53" i="6"/>
  <c r="BA52" i="6"/>
  <c r="AZ52" i="6"/>
  <c r="BA51" i="6"/>
  <c r="AZ51" i="6"/>
  <c r="BA50" i="6"/>
  <c r="AZ50" i="6"/>
  <c r="BA49" i="6"/>
  <c r="AZ49" i="6"/>
  <c r="BA48" i="6"/>
  <c r="AZ48" i="6"/>
  <c r="BA47" i="6"/>
  <c r="AZ47" i="6"/>
  <c r="BA46" i="6"/>
  <c r="AZ46" i="6"/>
  <c r="BA45" i="6"/>
  <c r="AZ45" i="6"/>
  <c r="BA44" i="6"/>
  <c r="AZ44" i="6"/>
  <c r="BA43" i="6"/>
  <c r="AZ43" i="6"/>
  <c r="BA41" i="6"/>
  <c r="AZ41" i="6"/>
  <c r="BA40" i="6"/>
  <c r="AZ40" i="6"/>
  <c r="AY56" i="6"/>
  <c r="AX56" i="6"/>
  <c r="AW56" i="6"/>
  <c r="AV56" i="6"/>
  <c r="BA35" i="6"/>
  <c r="AZ35" i="6"/>
  <c r="BA34" i="6"/>
  <c r="AZ34" i="6"/>
  <c r="BA33" i="6"/>
  <c r="AZ33" i="6"/>
  <c r="BA32" i="6"/>
  <c r="AZ32" i="6"/>
  <c r="BA31" i="6"/>
  <c r="AZ31" i="6"/>
  <c r="BA30" i="6"/>
  <c r="AZ30" i="6"/>
  <c r="BA29" i="6"/>
  <c r="AZ29" i="6"/>
  <c r="BA28" i="6"/>
  <c r="AZ28" i="6"/>
  <c r="BA27" i="6"/>
  <c r="AZ27" i="6"/>
  <c r="AY36" i="6"/>
  <c r="AX36" i="6"/>
  <c r="AW36" i="6"/>
  <c r="AV36" i="6"/>
  <c r="AZ36" i="6" s="1"/>
  <c r="BA21" i="6"/>
  <c r="AZ21" i="6"/>
  <c r="BA20" i="6"/>
  <c r="AZ20" i="6"/>
  <c r="BA19" i="6"/>
  <c r="AZ19" i="6"/>
  <c r="BA18" i="6"/>
  <c r="AZ18" i="6"/>
  <c r="BA17" i="6"/>
  <c r="AZ17" i="6"/>
  <c r="BA16" i="6"/>
  <c r="AZ16" i="6"/>
  <c r="BA15" i="6"/>
  <c r="AZ15" i="6"/>
  <c r="BA14" i="6"/>
  <c r="AZ14" i="6"/>
  <c r="BA13" i="6"/>
  <c r="AZ13" i="6"/>
  <c r="BA12" i="6"/>
  <c r="AZ12" i="6"/>
  <c r="BA11" i="6"/>
  <c r="AZ11" i="6"/>
  <c r="BA10" i="6"/>
  <c r="AZ10" i="6"/>
  <c r="BA9" i="6"/>
  <c r="AZ9" i="6"/>
  <c r="BA8" i="6"/>
  <c r="AZ8" i="6"/>
  <c r="AY22" i="6"/>
  <c r="AY61" i="6" s="1"/>
  <c r="AZ7" i="6"/>
  <c r="AW22" i="6"/>
  <c r="AV22" i="6"/>
  <c r="AP39" i="4" l="1"/>
  <c r="AQ39" i="4"/>
  <c r="AW29" i="4"/>
  <c r="AV29" i="4"/>
  <c r="AW28" i="4"/>
  <c r="AV28" i="4"/>
  <c r="AW26" i="4"/>
  <c r="AV26" i="4"/>
  <c r="AW24" i="4"/>
  <c r="AV24" i="4"/>
  <c r="AS30" i="4"/>
  <c r="AW23" i="4"/>
  <c r="AV23" i="4"/>
  <c r="AW22" i="4"/>
  <c r="AV22" i="4"/>
  <c r="AV21" i="4"/>
  <c r="AW21" i="4"/>
  <c r="AV31" i="7"/>
  <c r="AU31" i="7"/>
  <c r="AV20" i="7"/>
  <c r="AU20" i="7"/>
  <c r="AU53" i="7" s="1"/>
  <c r="AV53" i="7"/>
  <c r="AX53" i="7"/>
  <c r="AZ20" i="7"/>
  <c r="AW20" i="7"/>
  <c r="AY21" i="7"/>
  <c r="AY31" i="7" s="1"/>
  <c r="AZ4" i="7"/>
  <c r="AZ21" i="7"/>
  <c r="AZ31" i="7" s="1"/>
  <c r="AP53" i="7"/>
  <c r="AT53" i="7" s="1"/>
  <c r="AS53" i="7"/>
  <c r="AS20" i="7"/>
  <c r="AS28" i="7"/>
  <c r="AS31" i="7" s="1"/>
  <c r="AT20" i="7"/>
  <c r="AT28" i="7"/>
  <c r="AT31" i="7" s="1"/>
  <c r="BC22" i="6"/>
  <c r="BC36" i="6"/>
  <c r="BC56" i="6"/>
  <c r="BG56" i="6"/>
  <c r="BF56" i="6"/>
  <c r="BB36" i="6"/>
  <c r="BF26" i="6"/>
  <c r="BB22" i="6"/>
  <c r="BF10" i="6"/>
  <c r="BF22" i="6"/>
  <c r="BA36" i="6"/>
  <c r="AW61" i="6"/>
  <c r="AV61" i="6"/>
  <c r="AZ22" i="6"/>
  <c r="AX22" i="6"/>
  <c r="AX61" i="6" s="1"/>
  <c r="AZ26" i="6"/>
  <c r="AZ38" i="6"/>
  <c r="AZ56" i="6" s="1"/>
  <c r="BA7" i="6"/>
  <c r="BA22" i="6" s="1"/>
  <c r="BA26" i="6"/>
  <c r="BA38" i="6"/>
  <c r="BA56" i="6" s="1"/>
  <c r="CF68" i="5"/>
  <c r="CF66" i="5"/>
  <c r="CF63" i="5"/>
  <c r="CF61" i="5"/>
  <c r="CB68" i="5"/>
  <c r="CB67" i="5"/>
  <c r="CF67" i="5" s="1"/>
  <c r="CB66" i="5"/>
  <c r="CB64" i="5"/>
  <c r="CF64" i="5" s="1"/>
  <c r="CB63" i="5"/>
  <c r="CB62" i="5"/>
  <c r="CF62" i="5" s="1"/>
  <c r="CB61" i="5"/>
  <c r="CB60" i="5"/>
  <c r="CF60" i="5" s="1"/>
  <c r="CB59" i="5"/>
  <c r="CF59" i="5" s="1"/>
  <c r="CB57" i="5"/>
  <c r="CF57" i="5" s="1"/>
  <c r="CA68" i="5"/>
  <c r="CE68" i="5" s="1"/>
  <c r="CA67" i="5"/>
  <c r="CE67" i="5" s="1"/>
  <c r="CA66" i="5"/>
  <c r="CE66" i="5" s="1"/>
  <c r="CA64" i="5"/>
  <c r="CE64" i="5" s="1"/>
  <c r="CA62" i="5"/>
  <c r="CE62" i="5" s="1"/>
  <c r="CA61" i="5"/>
  <c r="CE61" i="5" s="1"/>
  <c r="CA59" i="5"/>
  <c r="CE59" i="5" s="1"/>
  <c r="CA58" i="5"/>
  <c r="CE58" i="5" s="1"/>
  <c r="CB55" i="5"/>
  <c r="CF55" i="5" s="1"/>
  <c r="CB52" i="5"/>
  <c r="CF52" i="5" s="1"/>
  <c r="CB51" i="5"/>
  <c r="CF51" i="5" s="1"/>
  <c r="CA52" i="5"/>
  <c r="CE52" i="5" s="1"/>
  <c r="CA51" i="5"/>
  <c r="CE51" i="5" s="1"/>
  <c r="CB42" i="5"/>
  <c r="CF42" i="5" s="1"/>
  <c r="CB41" i="5"/>
  <c r="CF41" i="5" s="1"/>
  <c r="CB35" i="5"/>
  <c r="CF35" i="5" s="1"/>
  <c r="CB34" i="5"/>
  <c r="CF34" i="5" s="1"/>
  <c r="CB33" i="5"/>
  <c r="CF33" i="5" s="1"/>
  <c r="CA42" i="5"/>
  <c r="CE42" i="5" s="1"/>
  <c r="CA41" i="5"/>
  <c r="CE41" i="5" s="1"/>
  <c r="CA40" i="5"/>
  <c r="CE40" i="5" s="1"/>
  <c r="CA35" i="5"/>
  <c r="CE35" i="5" s="1"/>
  <c r="CA34" i="5"/>
  <c r="CE34" i="5" s="1"/>
  <c r="CA33" i="5"/>
  <c r="CE33" i="5" s="1"/>
  <c r="CB31" i="5"/>
  <c r="CF31" i="5" s="1"/>
  <c r="CB30" i="5"/>
  <c r="CF30" i="5" s="1"/>
  <c r="CA31" i="5"/>
  <c r="CE31" i="5" s="1"/>
  <c r="CA30" i="5"/>
  <c r="CE30" i="5" s="1"/>
  <c r="CB29" i="5"/>
  <c r="CF29" i="5" s="1"/>
  <c r="CA29" i="5"/>
  <c r="CE29" i="5" s="1"/>
  <c r="CB28" i="5"/>
  <c r="CF28" i="5" s="1"/>
  <c r="CA28" i="5"/>
  <c r="CE28" i="5" s="1"/>
  <c r="CB23" i="5"/>
  <c r="CB22" i="5"/>
  <c r="CF22" i="5" s="1"/>
  <c r="CB21" i="5"/>
  <c r="CF21" i="5" s="1"/>
  <c r="CB20" i="5"/>
  <c r="CF20" i="5" s="1"/>
  <c r="CB19" i="5"/>
  <c r="CF19" i="5" s="1"/>
  <c r="CB18" i="5"/>
  <c r="CF18" i="5" s="1"/>
  <c r="CB17" i="5"/>
  <c r="CF17" i="5" s="1"/>
  <c r="CB16" i="5"/>
  <c r="CF16" i="5" s="1"/>
  <c r="CB15" i="5"/>
  <c r="CF15" i="5" s="1"/>
  <c r="CB14" i="5"/>
  <c r="CF14" i="5" s="1"/>
  <c r="CB13" i="5"/>
  <c r="CF13" i="5" s="1"/>
  <c r="CB12" i="5"/>
  <c r="CF12" i="5" s="1"/>
  <c r="CB11" i="5"/>
  <c r="CF11" i="5" s="1"/>
  <c r="CB10" i="5"/>
  <c r="CF10" i="5" s="1"/>
  <c r="CB9" i="5"/>
  <c r="CF9" i="5" s="1"/>
  <c r="CB8" i="5"/>
  <c r="CF8" i="5" s="1"/>
  <c r="CB7" i="5"/>
  <c r="CF7" i="5" s="1"/>
  <c r="CB6" i="5"/>
  <c r="CF6" i="5" s="1"/>
  <c r="CA22" i="5"/>
  <c r="CE22" i="5" s="1"/>
  <c r="CA21" i="5"/>
  <c r="CE21" i="5" s="1"/>
  <c r="CA19" i="5"/>
  <c r="CE19" i="5" s="1"/>
  <c r="CA20" i="5"/>
  <c r="CE20" i="5" s="1"/>
  <c r="CA18" i="5"/>
  <c r="CE18" i="5" s="1"/>
  <c r="CA17" i="5"/>
  <c r="CE17" i="5" s="1"/>
  <c r="CA16" i="5"/>
  <c r="CE16" i="5" s="1"/>
  <c r="CA15" i="5"/>
  <c r="CE15" i="5" s="1"/>
  <c r="CA14" i="5"/>
  <c r="CE14" i="5" s="1"/>
  <c r="CA13" i="5"/>
  <c r="CE13" i="5" s="1"/>
  <c r="CA12" i="5"/>
  <c r="CE12" i="5" s="1"/>
  <c r="CA11" i="5"/>
  <c r="CE11" i="5" s="1"/>
  <c r="CA10" i="5"/>
  <c r="CE10" i="5" s="1"/>
  <c r="CA9" i="5"/>
  <c r="CE9" i="5" s="1"/>
  <c r="CA7" i="5"/>
  <c r="CE7" i="5" s="1"/>
  <c r="CA6" i="5"/>
  <c r="CE6" i="5" s="1"/>
  <c r="CB24" i="5" l="1"/>
  <c r="AZ53" i="7"/>
  <c r="AW53" i="7"/>
  <c r="AY53" i="7" s="1"/>
  <c r="AY20" i="7"/>
  <c r="BG61" i="6"/>
  <c r="BC61" i="6"/>
  <c r="BB61" i="6"/>
  <c r="BF61" i="6"/>
  <c r="AZ61" i="6"/>
  <c r="BA61" i="6"/>
  <c r="CH44" i="5"/>
  <c r="CH69" i="5"/>
  <c r="CC69" i="5"/>
  <c r="CE44" i="5"/>
  <c r="CH32" i="5"/>
  <c r="CE32" i="5"/>
  <c r="CE53" i="5" s="1"/>
  <c r="CH24" i="5"/>
  <c r="CH53" i="5" l="1"/>
  <c r="CH71" i="5" s="1"/>
  <c r="CG44" i="5"/>
  <c r="CF44" i="5"/>
  <c r="CD44" i="5"/>
  <c r="CD53" i="5" s="1"/>
  <c r="CC44" i="5"/>
  <c r="CB44" i="5"/>
  <c r="CA44" i="5"/>
  <c r="BZ44" i="5"/>
  <c r="BW44" i="5"/>
  <c r="BV44" i="5"/>
  <c r="BR44" i="5"/>
  <c r="CG32" i="5"/>
  <c r="CD32" i="5"/>
  <c r="CC32" i="5"/>
  <c r="CA32" i="5"/>
  <c r="CA53" i="5" s="1"/>
  <c r="BZ32" i="5"/>
  <c r="BW32" i="5"/>
  <c r="BW53" i="5" s="1"/>
  <c r="BV32" i="5"/>
  <c r="BR32" i="5"/>
  <c r="BR53" i="5" s="1"/>
  <c r="CG69" i="5"/>
  <c r="CD69" i="5"/>
  <c r="BZ69" i="5"/>
  <c r="BW69" i="5"/>
  <c r="BV69" i="5"/>
  <c r="BP69" i="5"/>
  <c r="CC53" i="5" l="1"/>
  <c r="CG53" i="5"/>
  <c r="BZ53" i="5"/>
  <c r="BV53" i="5"/>
  <c r="BU68" i="5"/>
  <c r="BY68" i="5" s="1"/>
  <c r="BU67" i="5"/>
  <c r="BY67" i="5" s="1"/>
  <c r="BU66" i="5"/>
  <c r="BY66" i="5" s="1"/>
  <c r="BU65" i="5"/>
  <c r="BU64" i="5"/>
  <c r="BY64" i="5" s="1"/>
  <c r="BU63" i="5"/>
  <c r="BY63" i="5" s="1"/>
  <c r="BU62" i="5"/>
  <c r="BY62" i="5" s="1"/>
  <c r="BU61" i="5"/>
  <c r="BY61" i="5" s="1"/>
  <c r="BU60" i="5"/>
  <c r="BY60" i="5" s="1"/>
  <c r="BU59" i="5"/>
  <c r="BU58" i="5"/>
  <c r="BU57" i="5"/>
  <c r="BY57" i="5" s="1"/>
  <c r="BU55" i="5"/>
  <c r="BY55" i="5" s="1"/>
  <c r="BU52" i="5"/>
  <c r="BY52" i="5" s="1"/>
  <c r="BU51" i="5"/>
  <c r="BU43" i="5"/>
  <c r="BU42" i="5"/>
  <c r="BY42" i="5" s="1"/>
  <c r="BU41" i="5"/>
  <c r="BY41" i="5" s="1"/>
  <c r="BU40" i="5"/>
  <c r="BU35" i="5"/>
  <c r="BY35" i="5" s="1"/>
  <c r="BU34" i="5"/>
  <c r="BY34" i="5" s="1"/>
  <c r="BU33" i="5"/>
  <c r="BU31" i="5"/>
  <c r="BY31" i="5" s="1"/>
  <c r="BU30" i="5"/>
  <c r="BY30" i="5" s="1"/>
  <c r="BU29" i="5"/>
  <c r="BU28" i="5"/>
  <c r="BY28" i="5" s="1"/>
  <c r="BU27" i="5"/>
  <c r="BU23" i="5"/>
  <c r="BU22" i="5"/>
  <c r="BY22" i="5" s="1"/>
  <c r="BU21" i="5"/>
  <c r="BY21" i="5" s="1"/>
  <c r="BU20" i="5"/>
  <c r="BY20" i="5" s="1"/>
  <c r="BU19" i="5"/>
  <c r="BY19" i="5" s="1"/>
  <c r="BU18" i="5"/>
  <c r="BY18" i="5" s="1"/>
  <c r="BU17" i="5"/>
  <c r="BY17" i="5" s="1"/>
  <c r="BU16" i="5"/>
  <c r="BY16" i="5" s="1"/>
  <c r="BU15" i="5"/>
  <c r="BY15" i="5" s="1"/>
  <c r="BU14" i="5"/>
  <c r="BY14" i="5" s="1"/>
  <c r="BU13" i="5"/>
  <c r="BY13" i="5" s="1"/>
  <c r="BU12" i="5"/>
  <c r="BY12" i="5" s="1"/>
  <c r="BU11" i="5"/>
  <c r="BY11" i="5" s="1"/>
  <c r="BU10" i="5"/>
  <c r="BY10" i="5" s="1"/>
  <c r="BU9" i="5"/>
  <c r="BY9" i="5" s="1"/>
  <c r="BU8" i="5"/>
  <c r="BY8" i="5" s="1"/>
  <c r="BU7" i="5"/>
  <c r="BY7" i="5" s="1"/>
  <c r="BU6" i="5"/>
  <c r="BY6" i="5" s="1"/>
  <c r="CG24" i="5"/>
  <c r="CG71" i="5" s="1"/>
  <c r="CF24" i="5"/>
  <c r="CD24" i="5"/>
  <c r="CD71" i="5" s="1"/>
  <c r="CC24" i="5"/>
  <c r="BZ24" i="5"/>
  <c r="BZ71" i="5" s="1"/>
  <c r="BW24" i="5"/>
  <c r="BW71" i="5" s="1"/>
  <c r="BV24" i="5"/>
  <c r="BV71" i="5" s="1"/>
  <c r="BP24" i="5"/>
  <c r="BT68" i="5"/>
  <c r="BX68" i="5" s="1"/>
  <c r="BT67" i="5"/>
  <c r="BX67" i="5" s="1"/>
  <c r="BT66" i="5"/>
  <c r="BX66" i="5" s="1"/>
  <c r="BT65" i="5"/>
  <c r="BT64" i="5"/>
  <c r="BX64" i="5" s="1"/>
  <c r="BT62" i="5"/>
  <c r="BX62" i="5" s="1"/>
  <c r="BT61" i="5"/>
  <c r="BX61" i="5" s="1"/>
  <c r="BT59" i="5"/>
  <c r="BT58" i="5"/>
  <c r="BX58" i="5" s="1"/>
  <c r="BT52" i="5"/>
  <c r="BX52" i="5" s="1"/>
  <c r="BT51" i="5"/>
  <c r="BT43" i="5"/>
  <c r="BT42" i="5"/>
  <c r="BX42" i="5" s="1"/>
  <c r="BT41" i="5"/>
  <c r="BX41" i="5" s="1"/>
  <c r="BT40" i="5"/>
  <c r="BX40" i="5" s="1"/>
  <c r="BT35" i="5"/>
  <c r="BX35" i="5" s="1"/>
  <c r="BT34" i="5"/>
  <c r="BX34" i="5" s="1"/>
  <c r="BT33" i="5"/>
  <c r="BT31" i="5"/>
  <c r="BX31" i="5" s="1"/>
  <c r="BT30" i="5"/>
  <c r="BX30" i="5" s="1"/>
  <c r="BT29" i="5"/>
  <c r="BT28" i="5"/>
  <c r="BX28" i="5" s="1"/>
  <c r="BT27" i="5"/>
  <c r="BT23" i="5"/>
  <c r="BT22" i="5"/>
  <c r="BX22" i="5" s="1"/>
  <c r="BT20" i="5"/>
  <c r="BX20" i="5" s="1"/>
  <c r="BT21" i="5"/>
  <c r="BX21" i="5" s="1"/>
  <c r="BT19" i="5"/>
  <c r="BX19" i="5" s="1"/>
  <c r="BT18" i="5"/>
  <c r="BX18" i="5" s="1"/>
  <c r="BT17" i="5"/>
  <c r="BX17" i="5" s="1"/>
  <c r="BT16" i="5"/>
  <c r="BX16" i="5" s="1"/>
  <c r="BT15" i="5"/>
  <c r="BX15" i="5" s="1"/>
  <c r="BT14" i="5"/>
  <c r="BX14" i="5" s="1"/>
  <c r="BT13" i="5"/>
  <c r="BX13" i="5" s="1"/>
  <c r="BT12" i="5"/>
  <c r="BX12" i="5" s="1"/>
  <c r="BT11" i="5"/>
  <c r="BX11" i="5" s="1"/>
  <c r="BT10" i="5"/>
  <c r="BX10" i="5" s="1"/>
  <c r="BT9" i="5"/>
  <c r="BX9" i="5" s="1"/>
  <c r="BT7" i="5"/>
  <c r="BX7" i="5" s="1"/>
  <c r="BT6" i="5"/>
  <c r="BX6" i="5" s="1"/>
  <c r="AX6" i="5"/>
  <c r="BX51" i="5" l="1"/>
  <c r="BX44" i="5" s="1"/>
  <c r="BT44" i="5"/>
  <c r="BY51" i="5"/>
  <c r="BY44" i="5" s="1"/>
  <c r="BU44" i="5"/>
  <c r="CB58" i="5"/>
  <c r="BY58" i="5"/>
  <c r="CB40" i="5"/>
  <c r="BY40" i="5"/>
  <c r="BY33" i="5"/>
  <c r="BY32" i="5" s="1"/>
  <c r="BU32" i="5"/>
  <c r="BX33" i="5"/>
  <c r="BX32" i="5" s="1"/>
  <c r="BT32" i="5"/>
  <c r="BY29" i="5"/>
  <c r="BU53" i="5"/>
  <c r="BX29" i="5"/>
  <c r="BT53" i="5"/>
  <c r="BY59" i="5"/>
  <c r="BY69" i="5" s="1"/>
  <c r="BU69" i="5"/>
  <c r="BX59" i="5"/>
  <c r="BY24" i="5"/>
  <c r="CC71" i="5"/>
  <c r="BU24" i="5"/>
  <c r="BS69" i="5"/>
  <c r="BR69" i="5"/>
  <c r="BS44" i="5"/>
  <c r="BP44" i="5"/>
  <c r="BS32" i="5"/>
  <c r="BP32" i="5"/>
  <c r="BS24" i="5"/>
  <c r="BR24" i="5"/>
  <c r="BQ53" i="5"/>
  <c r="BQ69" i="5"/>
  <c r="BQ44" i="5"/>
  <c r="BN44" i="5"/>
  <c r="BQ32" i="5"/>
  <c r="BN32" i="5"/>
  <c r="BN53" i="5" s="1"/>
  <c r="BQ24" i="5"/>
  <c r="BS53" i="5" l="1"/>
  <c r="BS71" i="5" s="1"/>
  <c r="BX53" i="5"/>
  <c r="BP53" i="5"/>
  <c r="BP71" i="5" s="1"/>
  <c r="CF58" i="5"/>
  <c r="CF69" i="5" s="1"/>
  <c r="CB69" i="5"/>
  <c r="BU71" i="5"/>
  <c r="BQ71" i="5"/>
  <c r="CF40" i="5"/>
  <c r="CF32" i="5" s="1"/>
  <c r="CF53" i="5" s="1"/>
  <c r="CF71" i="5" s="1"/>
  <c r="CB32" i="5"/>
  <c r="CB53" i="5" s="1"/>
  <c r="CB71" i="5" s="1"/>
  <c r="BY53" i="5"/>
  <c r="BY71" i="5" s="1"/>
  <c r="BR71" i="5"/>
  <c r="BN55" i="5"/>
  <c r="BT55" i="5" s="1"/>
  <c r="BX55" i="5" s="1"/>
  <c r="BN8" i="5"/>
  <c r="BN60" i="5"/>
  <c r="BT60" i="5" s="1"/>
  <c r="BX60" i="5" s="1"/>
  <c r="BN63" i="5"/>
  <c r="BT63" i="5" s="1"/>
  <c r="BX63" i="5" s="1"/>
  <c r="BN57" i="5"/>
  <c r="BO69" i="5"/>
  <c r="BO44" i="5"/>
  <c r="BO32" i="5"/>
  <c r="BO24" i="5"/>
  <c r="BT57" i="5" l="1"/>
  <c r="BN69" i="5"/>
  <c r="BT8" i="5"/>
  <c r="BN24" i="5"/>
  <c r="BN71" i="5" s="1"/>
  <c r="BO53" i="5"/>
  <c r="BO71" i="5" s="1"/>
  <c r="BH69" i="5"/>
  <c r="BH44" i="5"/>
  <c r="BH32" i="5"/>
  <c r="BH53" i="5" s="1"/>
  <c r="BH71" i="5" s="1"/>
  <c r="BH24" i="5"/>
  <c r="BE45" i="5"/>
  <c r="BE43" i="5"/>
  <c r="BD69" i="5"/>
  <c r="BD44" i="5"/>
  <c r="BD32" i="5"/>
  <c r="BD24" i="5"/>
  <c r="BD53" i="5" l="1"/>
  <c r="BX8" i="5"/>
  <c r="BX24" i="5" s="1"/>
  <c r="BT24" i="5"/>
  <c r="BX57" i="5"/>
  <c r="BX69" i="5" s="1"/>
  <c r="BT69" i="5"/>
  <c r="BD71" i="5"/>
  <c r="BK23" i="5"/>
  <c r="BL23" i="5"/>
  <c r="BJ65" i="5"/>
  <c r="BI65" i="5"/>
  <c r="BJ50" i="5"/>
  <c r="BI50" i="5"/>
  <c r="BJ49" i="5"/>
  <c r="BI49" i="5"/>
  <c r="BJ48" i="5"/>
  <c r="BI48" i="5"/>
  <c r="BJ47" i="5"/>
  <c r="BI47" i="5"/>
  <c r="BJ46" i="5"/>
  <c r="BI46" i="5"/>
  <c r="BJ43" i="5"/>
  <c r="BI43" i="5"/>
  <c r="BJ39" i="5"/>
  <c r="BI39" i="5"/>
  <c r="BJ38" i="5"/>
  <c r="BI38" i="5"/>
  <c r="BJ37" i="5"/>
  <c r="BI37" i="5"/>
  <c r="BJ36" i="5"/>
  <c r="BI36" i="5"/>
  <c r="BG45" i="5"/>
  <c r="BL45" i="5" s="1"/>
  <c r="BF45" i="5"/>
  <c r="BG43" i="5"/>
  <c r="BF43" i="5"/>
  <c r="BM43" i="5" s="1"/>
  <c r="BA67" i="5"/>
  <c r="AZ67" i="5"/>
  <c r="BA60" i="5"/>
  <c r="AZ60" i="5"/>
  <c r="BA63" i="5"/>
  <c r="AZ63" i="5"/>
  <c r="BA66" i="5"/>
  <c r="AZ66" i="5"/>
  <c r="BA62" i="5"/>
  <c r="AZ62" i="5"/>
  <c r="BA59" i="5"/>
  <c r="AZ59" i="5"/>
  <c r="BC45" i="5"/>
  <c r="BB45" i="5"/>
  <c r="BC43" i="5"/>
  <c r="BB43" i="5"/>
  <c r="BB23" i="5"/>
  <c r="BC23" i="5"/>
  <c r="BA57" i="5"/>
  <c r="BA69" i="5" s="1"/>
  <c r="AZ57" i="5"/>
  <c r="AZ58" i="5"/>
  <c r="BA55" i="5"/>
  <c r="AZ55" i="5"/>
  <c r="BA10" i="5"/>
  <c r="AZ10" i="5"/>
  <c r="BA14" i="5"/>
  <c r="AZ14" i="5"/>
  <c r="BA11" i="5"/>
  <c r="BA13" i="5"/>
  <c r="AZ13" i="5"/>
  <c r="BA8" i="5"/>
  <c r="AZ8" i="5"/>
  <c r="BA9" i="5"/>
  <c r="AZ9" i="5"/>
  <c r="BA17" i="5"/>
  <c r="AZ17" i="5"/>
  <c r="AZ35" i="5"/>
  <c r="BA34" i="5"/>
  <c r="AZ34" i="5"/>
  <c r="BA33" i="5"/>
  <c r="AZ33" i="5"/>
  <c r="BA41" i="5"/>
  <c r="AZ41" i="5"/>
  <c r="BA29" i="5"/>
  <c r="AZ29" i="5"/>
  <c r="BK45" i="5" l="1"/>
  <c r="BM45" i="5"/>
  <c r="BX71" i="5"/>
  <c r="BT71" i="5"/>
  <c r="AZ32" i="5"/>
  <c r="BA32" i="5"/>
  <c r="AZ69" i="5"/>
  <c r="BK43" i="5"/>
  <c r="BL43" i="5"/>
  <c r="BA28" i="5"/>
  <c r="AZ28" i="5"/>
  <c r="BA31" i="5"/>
  <c r="AZ31" i="5"/>
  <c r="BA51" i="5"/>
  <c r="AZ51" i="5"/>
  <c r="BA52" i="5"/>
  <c r="AZ52" i="5"/>
  <c r="BA30" i="5"/>
  <c r="AZ30" i="5"/>
  <c r="BA18" i="5"/>
  <c r="AZ18" i="5"/>
  <c r="BA22" i="5"/>
  <c r="AZ22" i="5"/>
  <c r="BA21" i="5"/>
  <c r="AZ21" i="5"/>
  <c r="BA20" i="5"/>
  <c r="AZ20" i="5"/>
  <c r="BA19" i="5"/>
  <c r="AZ19" i="5"/>
  <c r="BA16" i="5"/>
  <c r="AZ16" i="5"/>
  <c r="BA12" i="5"/>
  <c r="AZ12" i="5"/>
  <c r="BA15" i="5"/>
  <c r="AZ15" i="5"/>
  <c r="BA7" i="5"/>
  <c r="AZ7" i="5"/>
  <c r="BA6" i="5"/>
  <c r="AZ6" i="5"/>
  <c r="AZ24" i="5" s="1"/>
  <c r="AW32" i="5"/>
  <c r="AV32" i="5"/>
  <c r="AU32" i="5"/>
  <c r="AT32" i="5"/>
  <c r="AS32" i="5"/>
  <c r="AR32" i="5"/>
  <c r="AY68" i="5"/>
  <c r="BC68" i="5" s="1"/>
  <c r="AX68" i="5"/>
  <c r="AY67" i="5"/>
  <c r="BC67" i="5" s="1"/>
  <c r="AX67" i="5"/>
  <c r="AY66" i="5"/>
  <c r="BC66" i="5" s="1"/>
  <c r="AX66" i="5"/>
  <c r="AY65" i="5"/>
  <c r="AX65" i="5"/>
  <c r="BE65" i="5" s="1"/>
  <c r="AY64" i="5"/>
  <c r="BC64" i="5" s="1"/>
  <c r="AX64" i="5"/>
  <c r="AY63" i="5"/>
  <c r="BC63" i="5" s="1"/>
  <c r="AY62" i="5"/>
  <c r="BC62" i="5" s="1"/>
  <c r="AX62" i="5"/>
  <c r="AY61" i="5"/>
  <c r="BC61" i="5" s="1"/>
  <c r="AX61" i="5"/>
  <c r="AY60" i="5"/>
  <c r="BC60" i="5" s="1"/>
  <c r="AY59" i="5"/>
  <c r="BC59" i="5" s="1"/>
  <c r="AX59" i="5"/>
  <c r="AY58" i="5"/>
  <c r="BC58" i="5" s="1"/>
  <c r="AX58" i="5"/>
  <c r="AY57" i="5"/>
  <c r="AY55" i="5"/>
  <c r="BC55" i="5" s="1"/>
  <c r="AY52" i="5"/>
  <c r="AX52" i="5"/>
  <c r="BE52" i="5" s="1"/>
  <c r="AY51" i="5"/>
  <c r="AY44" i="5" s="1"/>
  <c r="AX51" i="5"/>
  <c r="AY50" i="5"/>
  <c r="AX50" i="5"/>
  <c r="BE50" i="5" s="1"/>
  <c r="AY49" i="5"/>
  <c r="AX49" i="5"/>
  <c r="BE49" i="5" s="1"/>
  <c r="AY48" i="5"/>
  <c r="AX48" i="5"/>
  <c r="BE48" i="5" s="1"/>
  <c r="AY47" i="5"/>
  <c r="AX47" i="5"/>
  <c r="BE47" i="5" s="1"/>
  <c r="AY46" i="5"/>
  <c r="AX46" i="5"/>
  <c r="BE46" i="5" s="1"/>
  <c r="AY42" i="5"/>
  <c r="BC42" i="5" s="1"/>
  <c r="AX42" i="5"/>
  <c r="AY41" i="5"/>
  <c r="BC41" i="5" s="1"/>
  <c r="AX41" i="5"/>
  <c r="AY40" i="5"/>
  <c r="BC40" i="5" s="1"/>
  <c r="AX40" i="5"/>
  <c r="AY39" i="5"/>
  <c r="AX39" i="5"/>
  <c r="BE39" i="5" s="1"/>
  <c r="AY38" i="5"/>
  <c r="AX38" i="5"/>
  <c r="BE38" i="5" s="1"/>
  <c r="AY37" i="5"/>
  <c r="AX37" i="5"/>
  <c r="BE37" i="5" s="1"/>
  <c r="AY36" i="5"/>
  <c r="AX36" i="5"/>
  <c r="BE36" i="5" s="1"/>
  <c r="AY35" i="5"/>
  <c r="BC35" i="5" s="1"/>
  <c r="AX35" i="5"/>
  <c r="AY34" i="5"/>
  <c r="BC34" i="5" s="1"/>
  <c r="AX34" i="5"/>
  <c r="AY33" i="5"/>
  <c r="BC33" i="5" s="1"/>
  <c r="AX33" i="5"/>
  <c r="AY31" i="5"/>
  <c r="AX31" i="5"/>
  <c r="BE31" i="5" s="1"/>
  <c r="AY30" i="5"/>
  <c r="AX30" i="5"/>
  <c r="BE30" i="5" s="1"/>
  <c r="AY29" i="5"/>
  <c r="BC29" i="5" s="1"/>
  <c r="AY28" i="5"/>
  <c r="AX28" i="5"/>
  <c r="BE28" i="5" s="1"/>
  <c r="AY27" i="5"/>
  <c r="AX27" i="5"/>
  <c r="BE27" i="5" s="1"/>
  <c r="BB33" i="5" l="1"/>
  <c r="BE33" i="5"/>
  <c r="BB34" i="5"/>
  <c r="BE34" i="5"/>
  <c r="BB35" i="5"/>
  <c r="BE35" i="5"/>
  <c r="BB40" i="5"/>
  <c r="BE40" i="5"/>
  <c r="BB41" i="5"/>
  <c r="BE41" i="5"/>
  <c r="BB42" i="5"/>
  <c r="BE42" i="5"/>
  <c r="AX44" i="5"/>
  <c r="BE51" i="5"/>
  <c r="BE44" i="5" s="1"/>
  <c r="BB58" i="5"/>
  <c r="BE58" i="5"/>
  <c r="BB59" i="5"/>
  <c r="BE59" i="5"/>
  <c r="BB64" i="5"/>
  <c r="BE64" i="5"/>
  <c r="BB66" i="5"/>
  <c r="BE66" i="5"/>
  <c r="BB67" i="5"/>
  <c r="BE67" i="5"/>
  <c r="BB68" i="5"/>
  <c r="BE68" i="5"/>
  <c r="BB61" i="5"/>
  <c r="BE61" i="5"/>
  <c r="BB62" i="5"/>
  <c r="BE62" i="5"/>
  <c r="AY69" i="5"/>
  <c r="BC27" i="5"/>
  <c r="BG27" i="5"/>
  <c r="BC36" i="5"/>
  <c r="BG36" i="5"/>
  <c r="BL36" i="5" s="1"/>
  <c r="BC37" i="5"/>
  <c r="BG37" i="5"/>
  <c r="BL37" i="5" s="1"/>
  <c r="BC38" i="5"/>
  <c r="BG38" i="5"/>
  <c r="BL38" i="5" s="1"/>
  <c r="BC39" i="5"/>
  <c r="BG39" i="5"/>
  <c r="BL39" i="5" s="1"/>
  <c r="BG46" i="5"/>
  <c r="BL46" i="5" s="1"/>
  <c r="BC46" i="5"/>
  <c r="BG47" i="5"/>
  <c r="BL47" i="5" s="1"/>
  <c r="BC47" i="5"/>
  <c r="BG48" i="5"/>
  <c r="BL48" i="5" s="1"/>
  <c r="BC48" i="5"/>
  <c r="BG49" i="5"/>
  <c r="BL49" i="5" s="1"/>
  <c r="BC49" i="5"/>
  <c r="BG50" i="5"/>
  <c r="BL50" i="5" s="1"/>
  <c r="BC50" i="5"/>
  <c r="BG65" i="5"/>
  <c r="BL65" i="5" s="1"/>
  <c r="BC65" i="5"/>
  <c r="AY32" i="5"/>
  <c r="AY53" i="5" s="1"/>
  <c r="BC30" i="5"/>
  <c r="BC52" i="5"/>
  <c r="BB51" i="5"/>
  <c r="BB31" i="5"/>
  <c r="BB28" i="5"/>
  <c r="BC57" i="5"/>
  <c r="BF27" i="5"/>
  <c r="BM27" i="5" s="1"/>
  <c r="BB27" i="5"/>
  <c r="BF36" i="5"/>
  <c r="BB36" i="5"/>
  <c r="BF37" i="5"/>
  <c r="BB37" i="5"/>
  <c r="BF38" i="5"/>
  <c r="BB38" i="5"/>
  <c r="BF39" i="5"/>
  <c r="BB39" i="5"/>
  <c r="BF46" i="5"/>
  <c r="BB46" i="5"/>
  <c r="BF47" i="5"/>
  <c r="BB47" i="5"/>
  <c r="BF48" i="5"/>
  <c r="BB48" i="5"/>
  <c r="BF49" i="5"/>
  <c r="BB49" i="5"/>
  <c r="BF50" i="5"/>
  <c r="BB50" i="5"/>
  <c r="BF65" i="5"/>
  <c r="BB65" i="5"/>
  <c r="AX32" i="5"/>
  <c r="BA24" i="5"/>
  <c r="BB30" i="5"/>
  <c r="BB52" i="5"/>
  <c r="AZ44" i="5"/>
  <c r="AZ53" i="5" s="1"/>
  <c r="AZ71" i="5" s="1"/>
  <c r="BA44" i="5"/>
  <c r="BC51" i="5"/>
  <c r="BC31" i="5"/>
  <c r="BC28" i="5"/>
  <c r="AA55" i="5"/>
  <c r="Z55" i="5"/>
  <c r="K55" i="5"/>
  <c r="AM55" i="5" s="1"/>
  <c r="BJ55" i="5" s="1"/>
  <c r="J55" i="5"/>
  <c r="AA31" i="5"/>
  <c r="Z31" i="5"/>
  <c r="K31" i="5"/>
  <c r="J31" i="5"/>
  <c r="AA17" i="5"/>
  <c r="Z17" i="5"/>
  <c r="K17" i="5"/>
  <c r="AM17" i="5" s="1"/>
  <c r="J17" i="5"/>
  <c r="AX7" i="5"/>
  <c r="AY7" i="5"/>
  <c r="BC7" i="5" s="1"/>
  <c r="AY8" i="5"/>
  <c r="BC8" i="5" s="1"/>
  <c r="AX9" i="5"/>
  <c r="AY9" i="5"/>
  <c r="BC9" i="5" s="1"/>
  <c r="AX10" i="5"/>
  <c r="AY10" i="5"/>
  <c r="BC10" i="5" s="1"/>
  <c r="AX11" i="5"/>
  <c r="AY11" i="5"/>
  <c r="BC11" i="5" s="1"/>
  <c r="AX12" i="5"/>
  <c r="AY12" i="5"/>
  <c r="BC12" i="5" s="1"/>
  <c r="AX13" i="5"/>
  <c r="AY13" i="5"/>
  <c r="BC13" i="5" s="1"/>
  <c r="AX14" i="5"/>
  <c r="AY14" i="5"/>
  <c r="BC14" i="5" s="1"/>
  <c r="AX15" i="5"/>
  <c r="AY15" i="5"/>
  <c r="BC15" i="5" s="1"/>
  <c r="AX16" i="5"/>
  <c r="AY16" i="5"/>
  <c r="BC16" i="5" s="1"/>
  <c r="AX17" i="5"/>
  <c r="AY17" i="5"/>
  <c r="BC17" i="5" s="1"/>
  <c r="AX18" i="5"/>
  <c r="AY18" i="5"/>
  <c r="BC18" i="5" s="1"/>
  <c r="AX19" i="5"/>
  <c r="AY19" i="5"/>
  <c r="BC19" i="5" s="1"/>
  <c r="AX20" i="5"/>
  <c r="AY20" i="5"/>
  <c r="BC20" i="5" s="1"/>
  <c r="AX21" i="5"/>
  <c r="AY21" i="5"/>
  <c r="BC21" i="5" s="1"/>
  <c r="AX22" i="5"/>
  <c r="AY22" i="5"/>
  <c r="BC22" i="5" s="1"/>
  <c r="AY6" i="5"/>
  <c r="BE6" i="5"/>
  <c r="AK69" i="5"/>
  <c r="AJ69" i="5"/>
  <c r="AL68" i="5"/>
  <c r="BI68" i="5" s="1"/>
  <c r="AM68" i="5"/>
  <c r="BJ68" i="5" s="1"/>
  <c r="AL67" i="5"/>
  <c r="BI67" i="5" s="1"/>
  <c r="AM67" i="5"/>
  <c r="BJ67" i="5" s="1"/>
  <c r="AM66" i="5"/>
  <c r="BJ66" i="5" s="1"/>
  <c r="AL66" i="5"/>
  <c r="BI66" i="5" s="1"/>
  <c r="AL64" i="5"/>
  <c r="BI64" i="5" s="1"/>
  <c r="AM64" i="5"/>
  <c r="BJ64" i="5" s="1"/>
  <c r="AL63" i="5"/>
  <c r="BI63" i="5" s="1"/>
  <c r="AM63" i="5"/>
  <c r="BJ63" i="5" s="1"/>
  <c r="AL62" i="5"/>
  <c r="BI62" i="5" s="1"/>
  <c r="AM62" i="5"/>
  <c r="BJ62" i="5" s="1"/>
  <c r="AL61" i="5"/>
  <c r="BI61" i="5" s="1"/>
  <c r="AM61" i="5"/>
  <c r="BJ61" i="5" s="1"/>
  <c r="AL60" i="5"/>
  <c r="BI60" i="5" s="1"/>
  <c r="AM60" i="5"/>
  <c r="BJ60" i="5" s="1"/>
  <c r="AL59" i="5"/>
  <c r="BI59" i="5" s="1"/>
  <c r="AM59" i="5"/>
  <c r="BJ59" i="5" s="1"/>
  <c r="AL58" i="5"/>
  <c r="BI58" i="5" s="1"/>
  <c r="AM58" i="5"/>
  <c r="BJ58" i="5" s="1"/>
  <c r="AM57" i="5"/>
  <c r="BJ57" i="5" s="1"/>
  <c r="AL57" i="5"/>
  <c r="BI57" i="5" s="1"/>
  <c r="AL55" i="5"/>
  <c r="BI55" i="5" s="1"/>
  <c r="AM52" i="5"/>
  <c r="BJ52" i="5" s="1"/>
  <c r="AL52" i="5"/>
  <c r="BI52" i="5" s="1"/>
  <c r="AM51" i="5"/>
  <c r="BJ51" i="5" s="1"/>
  <c r="AL51" i="5"/>
  <c r="BI51" i="5" s="1"/>
  <c r="AM44" i="5"/>
  <c r="AL42" i="5"/>
  <c r="BI42" i="5" s="1"/>
  <c r="AM42" i="5"/>
  <c r="BJ42" i="5" s="1"/>
  <c r="AL41" i="5"/>
  <c r="BI41" i="5" s="1"/>
  <c r="AM41" i="5"/>
  <c r="BJ41" i="5" s="1"/>
  <c r="AM40" i="5"/>
  <c r="BJ40" i="5" s="1"/>
  <c r="AL40" i="5"/>
  <c r="BI40" i="5" s="1"/>
  <c r="AL35" i="5"/>
  <c r="BI35" i="5" s="1"/>
  <c r="AM35" i="5"/>
  <c r="BJ35" i="5" s="1"/>
  <c r="AL34" i="5"/>
  <c r="BI34" i="5" s="1"/>
  <c r="AM34" i="5"/>
  <c r="BJ34" i="5" s="1"/>
  <c r="AM33" i="5"/>
  <c r="AL33" i="5"/>
  <c r="BI33" i="5" s="1"/>
  <c r="AM31" i="5"/>
  <c r="BJ31" i="5" s="1"/>
  <c r="AL30" i="5"/>
  <c r="BI30" i="5" s="1"/>
  <c r="AM30" i="5"/>
  <c r="BJ30" i="5" s="1"/>
  <c r="AL29" i="5"/>
  <c r="BI29" i="5" s="1"/>
  <c r="AM29" i="5"/>
  <c r="BJ29" i="5" s="1"/>
  <c r="AM28" i="5"/>
  <c r="BJ28" i="5" s="1"/>
  <c r="AL28" i="5"/>
  <c r="BI28" i="5" s="1"/>
  <c r="AL22" i="5"/>
  <c r="BI22" i="5" s="1"/>
  <c r="AM22" i="5"/>
  <c r="BJ22" i="5" s="1"/>
  <c r="AL20" i="5"/>
  <c r="BI20" i="5" s="1"/>
  <c r="AM20" i="5"/>
  <c r="BJ20" i="5" s="1"/>
  <c r="AL19" i="5"/>
  <c r="BI19" i="5" s="1"/>
  <c r="AM19" i="5"/>
  <c r="BJ19" i="5" s="1"/>
  <c r="AL18" i="5"/>
  <c r="BI18" i="5" s="1"/>
  <c r="AM18" i="5"/>
  <c r="BJ18" i="5" s="1"/>
  <c r="AL16" i="5"/>
  <c r="BI16" i="5" s="1"/>
  <c r="AM16" i="5"/>
  <c r="BJ16" i="5" s="1"/>
  <c r="AL15" i="5"/>
  <c r="BI15" i="5" s="1"/>
  <c r="AM15" i="5"/>
  <c r="BJ15" i="5" s="1"/>
  <c r="AL14" i="5"/>
  <c r="BI14" i="5" s="1"/>
  <c r="AM14" i="5"/>
  <c r="BJ14" i="5" s="1"/>
  <c r="AL13" i="5"/>
  <c r="BI13" i="5" s="1"/>
  <c r="AM13" i="5"/>
  <c r="BJ13" i="5" s="1"/>
  <c r="AL12" i="5"/>
  <c r="BI12" i="5" s="1"/>
  <c r="AM12" i="5"/>
  <c r="BJ12" i="5" s="1"/>
  <c r="AL11" i="5"/>
  <c r="BI11" i="5" s="1"/>
  <c r="AM11" i="5"/>
  <c r="BJ11" i="5" s="1"/>
  <c r="AL10" i="5"/>
  <c r="BI10" i="5" s="1"/>
  <c r="AM10" i="5"/>
  <c r="BJ10" i="5" s="1"/>
  <c r="AL9" i="5"/>
  <c r="BI9" i="5" s="1"/>
  <c r="AM9" i="5"/>
  <c r="BJ9" i="5" s="1"/>
  <c r="AL8" i="5"/>
  <c r="BI8" i="5" s="1"/>
  <c r="AM8" i="5"/>
  <c r="BJ8" i="5" s="1"/>
  <c r="AL7" i="5"/>
  <c r="BI7" i="5" s="1"/>
  <c r="AM7" i="5"/>
  <c r="BJ7" i="5" s="1"/>
  <c r="AM6" i="5"/>
  <c r="BJ6" i="5" s="1"/>
  <c r="AL6" i="5"/>
  <c r="AA21" i="5"/>
  <c r="Z21" i="5"/>
  <c r="K21" i="5"/>
  <c r="AM21" i="5" s="1"/>
  <c r="BJ21" i="5" s="1"/>
  <c r="J21" i="5"/>
  <c r="AL21" i="5" s="1"/>
  <c r="BI21" i="5" s="1"/>
  <c r="W34" i="4"/>
  <c r="V34" i="4"/>
  <c r="W33" i="4"/>
  <c r="V33" i="4"/>
  <c r="W29" i="4"/>
  <c r="V29" i="4"/>
  <c r="W28" i="4"/>
  <c r="V28" i="4"/>
  <c r="W27" i="4"/>
  <c r="V27" i="4"/>
  <c r="W26" i="4"/>
  <c r="V26" i="4"/>
  <c r="W25" i="4"/>
  <c r="V25" i="4"/>
  <c r="W24" i="4"/>
  <c r="V24" i="4"/>
  <c r="W23" i="4"/>
  <c r="V23" i="4"/>
  <c r="W22" i="4"/>
  <c r="V22" i="4"/>
  <c r="W21" i="4"/>
  <c r="V21" i="4"/>
  <c r="V7" i="4"/>
  <c r="W7" i="4"/>
  <c r="V8" i="4"/>
  <c r="W8" i="4"/>
  <c r="V9" i="4"/>
  <c r="W9" i="4"/>
  <c r="V10" i="4"/>
  <c r="W10" i="4"/>
  <c r="V11" i="4"/>
  <c r="W11" i="4"/>
  <c r="W6" i="4"/>
  <c r="V6" i="4"/>
  <c r="BK65" i="5" l="1"/>
  <c r="BM65" i="5"/>
  <c r="BK50" i="5"/>
  <c r="BM50" i="5"/>
  <c r="BK49" i="5"/>
  <c r="BM49" i="5"/>
  <c r="BK48" i="5"/>
  <c r="BM48" i="5"/>
  <c r="BK47" i="5"/>
  <c r="BM47" i="5"/>
  <c r="BK46" i="5"/>
  <c r="BM46" i="5"/>
  <c r="BK39" i="5"/>
  <c r="BM39" i="5"/>
  <c r="BK38" i="5"/>
  <c r="BM38" i="5"/>
  <c r="BK37" i="5"/>
  <c r="BM37" i="5"/>
  <c r="BK36" i="5"/>
  <c r="BM36" i="5"/>
  <c r="AR17" i="4"/>
  <c r="AR39" i="4" s="1"/>
  <c r="AS17" i="4"/>
  <c r="AS39" i="4" s="1"/>
  <c r="BI6" i="5"/>
  <c r="BB21" i="5"/>
  <c r="BE21" i="5"/>
  <c r="BB19" i="5"/>
  <c r="BE19" i="5"/>
  <c r="BB17" i="5"/>
  <c r="BE17" i="5"/>
  <c r="BB16" i="5"/>
  <c r="BE16" i="5"/>
  <c r="BB15" i="5"/>
  <c r="BE15" i="5"/>
  <c r="BB13" i="5"/>
  <c r="BE13" i="5"/>
  <c r="BB12" i="5"/>
  <c r="BE12" i="5"/>
  <c r="BB11" i="5"/>
  <c r="BE11" i="5"/>
  <c r="BB9" i="5"/>
  <c r="BE9" i="5"/>
  <c r="BB7" i="5"/>
  <c r="BE7" i="5"/>
  <c r="BE32" i="5"/>
  <c r="BB22" i="5"/>
  <c r="BE22" i="5"/>
  <c r="BB20" i="5"/>
  <c r="BE20" i="5"/>
  <c r="BB18" i="5"/>
  <c r="BE18" i="5"/>
  <c r="BB14" i="5"/>
  <c r="BE14" i="5"/>
  <c r="BB10" i="5"/>
  <c r="BE10" i="5"/>
  <c r="BB32" i="5"/>
  <c r="BC69" i="5"/>
  <c r="BC32" i="5"/>
  <c r="BA53" i="5"/>
  <c r="BA71" i="5" s="1"/>
  <c r="AM24" i="5"/>
  <c r="BJ17" i="5"/>
  <c r="BI32" i="5"/>
  <c r="AL44" i="5"/>
  <c r="BI69" i="5"/>
  <c r="BJ24" i="5"/>
  <c r="AM32" i="5"/>
  <c r="AM53" i="5" s="1"/>
  <c r="BJ33" i="5"/>
  <c r="BJ44" i="5"/>
  <c r="BJ69" i="5"/>
  <c r="AM69" i="5"/>
  <c r="AY24" i="5"/>
  <c r="BC44" i="5"/>
  <c r="BB44" i="5"/>
  <c r="BC6" i="5"/>
  <c r="BC24" i="5" s="1"/>
  <c r="BI44" i="5"/>
  <c r="AL69" i="5"/>
  <c r="AL17" i="5"/>
  <c r="BI17" i="5" s="1"/>
  <c r="AL31" i="5"/>
  <c r="BI31" i="5" s="1"/>
  <c r="BB6" i="5"/>
  <c r="AL32" i="5"/>
  <c r="AM34" i="4"/>
  <c r="AL34" i="4"/>
  <c r="AM33" i="4"/>
  <c r="AL33" i="4"/>
  <c r="AL35" i="4" s="1"/>
  <c r="AM29" i="4"/>
  <c r="AL29" i="4"/>
  <c r="AM28" i="4"/>
  <c r="AL28" i="4"/>
  <c r="AM27" i="4"/>
  <c r="AL27" i="4"/>
  <c r="AM26" i="4"/>
  <c r="AL26" i="4"/>
  <c r="AM25" i="4"/>
  <c r="AL25" i="4"/>
  <c r="AM24" i="4"/>
  <c r="AL24" i="4"/>
  <c r="AM23" i="4"/>
  <c r="AL23" i="4"/>
  <c r="AM22" i="4"/>
  <c r="AL22" i="4"/>
  <c r="AM21" i="4"/>
  <c r="AL21" i="4"/>
  <c r="AL30" i="4" s="1"/>
  <c r="AL7" i="4"/>
  <c r="AM7" i="4"/>
  <c r="AL8" i="4"/>
  <c r="AM8" i="4"/>
  <c r="AL9" i="4"/>
  <c r="AM9" i="4"/>
  <c r="AL10" i="4"/>
  <c r="AM10" i="4"/>
  <c r="AL11" i="4"/>
  <c r="AM11" i="4"/>
  <c r="AL12" i="4"/>
  <c r="AM12" i="4"/>
  <c r="AL14" i="4"/>
  <c r="AM14" i="4"/>
  <c r="AL15" i="4"/>
  <c r="AM15" i="4"/>
  <c r="AL16" i="4"/>
  <c r="AM16" i="4"/>
  <c r="AM6" i="4"/>
  <c r="AL6" i="4"/>
  <c r="AL53" i="5" l="1"/>
  <c r="BC53" i="5"/>
  <c r="BI53" i="5"/>
  <c r="BC71" i="5"/>
  <c r="BJ32" i="5"/>
  <c r="BJ53" i="5" s="1"/>
  <c r="BI24" i="5"/>
  <c r="AL17" i="4"/>
  <c r="AM30" i="4"/>
  <c r="AM35" i="4"/>
  <c r="AM17" i="4"/>
  <c r="AL39" i="4"/>
  <c r="AF30" i="4"/>
  <c r="AG30" i="4"/>
  <c r="AH17" i="4"/>
  <c r="AF17" i="4"/>
  <c r="AG17" i="4"/>
  <c r="BI71" i="5" l="1"/>
  <c r="BJ71" i="5"/>
  <c r="AM39" i="4"/>
  <c r="AK34" i="4"/>
  <c r="AO34" i="4" s="1"/>
  <c r="AJ34" i="4"/>
  <c r="AN34" i="4" s="1"/>
  <c r="AK33" i="4"/>
  <c r="AO33" i="4" s="1"/>
  <c r="AJ33" i="4"/>
  <c r="AN33" i="4" s="1"/>
  <c r="AK29" i="4"/>
  <c r="AO29" i="4" s="1"/>
  <c r="AJ29" i="4"/>
  <c r="AN29" i="4" s="1"/>
  <c r="AK28" i="4"/>
  <c r="AO28" i="4" s="1"/>
  <c r="AJ28" i="4"/>
  <c r="AN28" i="4" s="1"/>
  <c r="AK27" i="4"/>
  <c r="AO27" i="4" s="1"/>
  <c r="AJ27" i="4"/>
  <c r="AN27" i="4" s="1"/>
  <c r="AK26" i="4"/>
  <c r="AO26" i="4" s="1"/>
  <c r="AJ26" i="4"/>
  <c r="AN26" i="4" s="1"/>
  <c r="AK25" i="4"/>
  <c r="AO25" i="4" s="1"/>
  <c r="AJ25" i="4"/>
  <c r="AN25" i="4" s="1"/>
  <c r="AK24" i="4"/>
  <c r="AO24" i="4" s="1"/>
  <c r="AJ24" i="4"/>
  <c r="AN24" i="4" s="1"/>
  <c r="AK23" i="4"/>
  <c r="AO23" i="4" s="1"/>
  <c r="AJ23" i="4"/>
  <c r="AN23" i="4" s="1"/>
  <c r="AK22" i="4"/>
  <c r="AO22" i="4" s="1"/>
  <c r="AJ22" i="4"/>
  <c r="AN22" i="4" s="1"/>
  <c r="AK21" i="4"/>
  <c r="AO21" i="4" s="1"/>
  <c r="AJ21" i="4"/>
  <c r="AN21" i="4" s="1"/>
  <c r="Y26" i="6"/>
  <c r="M26" i="6"/>
  <c r="N26" i="6"/>
  <c r="E26" i="6" l="1"/>
  <c r="D26" i="6"/>
  <c r="X26" i="6" s="1"/>
  <c r="AP26" i="6" s="1"/>
  <c r="AI26" i="6"/>
  <c r="AH26" i="6"/>
  <c r="D28" i="7"/>
  <c r="AD28" i="7"/>
  <c r="AJ28" i="7" s="1"/>
  <c r="AC28" i="7"/>
  <c r="V28" i="7"/>
  <c r="U28" i="7"/>
  <c r="AV60" i="5" l="1"/>
  <c r="AV63" i="5"/>
  <c r="AW44" i="5"/>
  <c r="AW53" i="5" s="1"/>
  <c r="AV44" i="5"/>
  <c r="AU44" i="5"/>
  <c r="AU53" i="5" s="1"/>
  <c r="AT44" i="5"/>
  <c r="AS44" i="5"/>
  <c r="AS53" i="5" s="1"/>
  <c r="AR44" i="5"/>
  <c r="AR53" i="5" s="1"/>
  <c r="AV57" i="5"/>
  <c r="AV8" i="5"/>
  <c r="AV24" i="5" s="1"/>
  <c r="AV55" i="5"/>
  <c r="AW24" i="5"/>
  <c r="AU24" i="5"/>
  <c r="AS24" i="5"/>
  <c r="AW69" i="5"/>
  <c r="AV53" i="5" l="1"/>
  <c r="AV69" i="5"/>
  <c r="AW71" i="5"/>
  <c r="AU69" i="5"/>
  <c r="AS69" i="5"/>
  <c r="AS71" i="5" s="1"/>
  <c r="AR69" i="5"/>
  <c r="AE69" i="5"/>
  <c r="AD69" i="5"/>
  <c r="AA69" i="5"/>
  <c r="Z69" i="5"/>
  <c r="W69" i="5"/>
  <c r="V69" i="5"/>
  <c r="U69" i="5"/>
  <c r="T69" i="5"/>
  <c r="S69" i="5"/>
  <c r="R69" i="5"/>
  <c r="Y68" i="5"/>
  <c r="X68" i="5"/>
  <c r="Y67" i="5"/>
  <c r="X67" i="5"/>
  <c r="Y66" i="5"/>
  <c r="X66" i="5"/>
  <c r="Y64" i="5"/>
  <c r="X64" i="5"/>
  <c r="AT63" i="5"/>
  <c r="Y63" i="5"/>
  <c r="X63" i="5"/>
  <c r="Y62" i="5"/>
  <c r="X62" i="5"/>
  <c r="Y61" i="5"/>
  <c r="X61" i="5"/>
  <c r="AT60" i="5"/>
  <c r="Y60" i="5"/>
  <c r="X60" i="5"/>
  <c r="AB60" i="5" s="1"/>
  <c r="Y59" i="5"/>
  <c r="X59" i="5"/>
  <c r="Y58" i="5"/>
  <c r="X58" i="5"/>
  <c r="AT57" i="5"/>
  <c r="Y57" i="5"/>
  <c r="X57" i="5"/>
  <c r="AT55" i="5"/>
  <c r="Y55" i="5"/>
  <c r="X55" i="5"/>
  <c r="Y52" i="5"/>
  <c r="X52" i="5"/>
  <c r="Y51" i="5"/>
  <c r="Y44" i="5" s="1"/>
  <c r="X51" i="5"/>
  <c r="AC50" i="5"/>
  <c r="AB50" i="5"/>
  <c r="AC49" i="5"/>
  <c r="AB49" i="5"/>
  <c r="AC48" i="5"/>
  <c r="AB48" i="5"/>
  <c r="AC47" i="5"/>
  <c r="AB47" i="5"/>
  <c r="AC46" i="5"/>
  <c r="AB46" i="5"/>
  <c r="AC45" i="5"/>
  <c r="AB45" i="5"/>
  <c r="AK44" i="5"/>
  <c r="AJ44" i="5"/>
  <c r="AE44" i="5"/>
  <c r="AD44" i="5"/>
  <c r="AA44" i="5"/>
  <c r="X44" i="5"/>
  <c r="W44" i="5"/>
  <c r="V44" i="5"/>
  <c r="U44" i="5"/>
  <c r="T44" i="5"/>
  <c r="S44" i="5"/>
  <c r="R44" i="5"/>
  <c r="Y42" i="5"/>
  <c r="X42" i="5"/>
  <c r="Y41" i="5"/>
  <c r="X41" i="5"/>
  <c r="Y40" i="5"/>
  <c r="X40" i="5"/>
  <c r="AC39" i="5"/>
  <c r="AB39" i="5"/>
  <c r="AC38" i="5"/>
  <c r="AB38" i="5"/>
  <c r="AC37" i="5"/>
  <c r="AB37" i="5"/>
  <c r="AC36" i="5"/>
  <c r="AB36" i="5"/>
  <c r="Y35" i="5"/>
  <c r="X35" i="5"/>
  <c r="Y34" i="5"/>
  <c r="X34" i="5"/>
  <c r="Y33" i="5"/>
  <c r="X33" i="5"/>
  <c r="AK32" i="5"/>
  <c r="AJ32" i="5"/>
  <c r="AE32" i="5"/>
  <c r="AD32" i="5"/>
  <c r="AA32" i="5"/>
  <c r="Z32" i="5"/>
  <c r="Z53" i="5" s="1"/>
  <c r="Y32" i="5"/>
  <c r="X32" i="5"/>
  <c r="W32" i="5"/>
  <c r="W53" i="5" s="1"/>
  <c r="V32" i="5"/>
  <c r="V53" i="5" s="1"/>
  <c r="U32" i="5"/>
  <c r="U53" i="5" s="1"/>
  <c r="T32" i="5"/>
  <c r="T53" i="5" s="1"/>
  <c r="S32" i="5"/>
  <c r="S53" i="5" s="1"/>
  <c r="R32" i="5"/>
  <c r="R53" i="5" s="1"/>
  <c r="Y31" i="5"/>
  <c r="X31" i="5"/>
  <c r="Y30" i="5"/>
  <c r="X30" i="5"/>
  <c r="AX29" i="5"/>
  <c r="Y29" i="5"/>
  <c r="X29" i="5"/>
  <c r="Y28" i="5"/>
  <c r="X28" i="5"/>
  <c r="AK24" i="5"/>
  <c r="AJ24" i="5"/>
  <c r="AE24" i="5"/>
  <c r="AD24" i="5"/>
  <c r="AA24" i="5"/>
  <c r="Z24" i="5"/>
  <c r="W24" i="5"/>
  <c r="V24" i="5"/>
  <c r="U24" i="5"/>
  <c r="T24" i="5"/>
  <c r="S24" i="5"/>
  <c r="R24" i="5"/>
  <c r="Y22" i="5"/>
  <c r="X22" i="5"/>
  <c r="Y21" i="5"/>
  <c r="X21" i="5"/>
  <c r="Y20" i="5"/>
  <c r="X20" i="5"/>
  <c r="Y19" i="5"/>
  <c r="X19" i="5"/>
  <c r="Y18" i="5"/>
  <c r="X18" i="5"/>
  <c r="Y17" i="5"/>
  <c r="X17" i="5"/>
  <c r="Y16" i="5"/>
  <c r="X16" i="5"/>
  <c r="Y15" i="5"/>
  <c r="X15" i="5"/>
  <c r="Y14" i="5"/>
  <c r="X14" i="5"/>
  <c r="Y13" i="5"/>
  <c r="X13" i="5"/>
  <c r="Y12" i="5"/>
  <c r="X12" i="5"/>
  <c r="Y11" i="5"/>
  <c r="X11" i="5"/>
  <c r="Y10" i="5"/>
  <c r="X10" i="5"/>
  <c r="Y9" i="5"/>
  <c r="X9" i="5"/>
  <c r="AT8" i="5"/>
  <c r="AT24" i="5" s="1"/>
  <c r="AR8" i="5"/>
  <c r="Y8" i="5"/>
  <c r="X8" i="5"/>
  <c r="Y7" i="5"/>
  <c r="X7" i="5"/>
  <c r="AL24" i="5"/>
  <c r="AL71" i="5" s="1"/>
  <c r="Y6" i="5"/>
  <c r="X6" i="5"/>
  <c r="AX55" i="5" l="1"/>
  <c r="BE55" i="5" s="1"/>
  <c r="CA55" i="5"/>
  <c r="CE55" i="5" s="1"/>
  <c r="AX60" i="5"/>
  <c r="BE60" i="5" s="1"/>
  <c r="BE69" i="5" s="1"/>
  <c r="CA60" i="5"/>
  <c r="CE60" i="5" s="1"/>
  <c r="CA8" i="5"/>
  <c r="AX57" i="5"/>
  <c r="BE57" i="5" s="1"/>
  <c r="CA57" i="5"/>
  <c r="AX63" i="5"/>
  <c r="CA63" i="5"/>
  <c r="CE63" i="5" s="1"/>
  <c r="X24" i="5"/>
  <c r="AF24" i="5" s="1"/>
  <c r="BB55" i="5"/>
  <c r="BB60" i="5"/>
  <c r="AX53" i="5"/>
  <c r="BE29" i="5"/>
  <c r="BE53" i="5" s="1"/>
  <c r="BB63" i="5"/>
  <c r="BE63" i="5"/>
  <c r="S71" i="5"/>
  <c r="U71" i="5"/>
  <c r="W71" i="5"/>
  <c r="AE53" i="5"/>
  <c r="AE71" i="5" s="1"/>
  <c r="AK53" i="5"/>
  <c r="AD53" i="5"/>
  <c r="AJ53" i="5"/>
  <c r="AT53" i="5"/>
  <c r="AX8" i="5"/>
  <c r="BE8" i="5" s="1"/>
  <c r="BE24" i="5" s="1"/>
  <c r="AR24" i="5"/>
  <c r="BB29" i="5"/>
  <c r="BB53" i="5" s="1"/>
  <c r="AR71" i="5"/>
  <c r="AV71" i="5"/>
  <c r="BB57" i="5"/>
  <c r="AX69" i="5"/>
  <c r="Y24" i="5"/>
  <c r="AG24" i="5" s="1"/>
  <c r="R71" i="5"/>
  <c r="T71" i="5"/>
  <c r="V71" i="5"/>
  <c r="X53" i="5"/>
  <c r="AU71" i="5"/>
  <c r="Z71" i="5"/>
  <c r="AJ71" i="5"/>
  <c r="AT69" i="5"/>
  <c r="AG32" i="5"/>
  <c r="AD71" i="5"/>
  <c r="Y53" i="5"/>
  <c r="AF32" i="5"/>
  <c r="AK71" i="5"/>
  <c r="Y69" i="5"/>
  <c r="AG69" i="5" s="1"/>
  <c r="AC6" i="5"/>
  <c r="AG6" i="5"/>
  <c r="AC7" i="5"/>
  <c r="AG7" i="5"/>
  <c r="AC8" i="5"/>
  <c r="AG8" i="5"/>
  <c r="AC9" i="5"/>
  <c r="AG9" i="5"/>
  <c r="AC10" i="5"/>
  <c r="AG10" i="5"/>
  <c r="AC11" i="5"/>
  <c r="AG11" i="5"/>
  <c r="AC12" i="5"/>
  <c r="AG12" i="5"/>
  <c r="AC13" i="5"/>
  <c r="AG13" i="5"/>
  <c r="AC14" i="5"/>
  <c r="AG14" i="5"/>
  <c r="AC15" i="5"/>
  <c r="AG15" i="5"/>
  <c r="AC16" i="5"/>
  <c r="AG16" i="5"/>
  <c r="AC17" i="5"/>
  <c r="AG17" i="5"/>
  <c r="AC18" i="5"/>
  <c r="AG18" i="5"/>
  <c r="AC19" i="5"/>
  <c r="AG19" i="5"/>
  <c r="AC20" i="5"/>
  <c r="AG20" i="5"/>
  <c r="AC21" i="5"/>
  <c r="AG21" i="5"/>
  <c r="AC22" i="5"/>
  <c r="AG22" i="5"/>
  <c r="AC28" i="5"/>
  <c r="AG28" i="5"/>
  <c r="AC29" i="5"/>
  <c r="AG29" i="5"/>
  <c r="AF30" i="5"/>
  <c r="AB30" i="5"/>
  <c r="AG30" i="5"/>
  <c r="AB6" i="5"/>
  <c r="AF6" i="5"/>
  <c r="AB7" i="5"/>
  <c r="AF7" i="5"/>
  <c r="AB8" i="5"/>
  <c r="AF8" i="5"/>
  <c r="AB9" i="5"/>
  <c r="AF9" i="5"/>
  <c r="AB10" i="5"/>
  <c r="AF10" i="5"/>
  <c r="AB11" i="5"/>
  <c r="AF11" i="5"/>
  <c r="AB12" i="5"/>
  <c r="AF12" i="5"/>
  <c r="AB13" i="5"/>
  <c r="AF13" i="5"/>
  <c r="AB14" i="5"/>
  <c r="AF14" i="5"/>
  <c r="AB15" i="5"/>
  <c r="AF15" i="5"/>
  <c r="AB16" i="5"/>
  <c r="AF16" i="5"/>
  <c r="AB17" i="5"/>
  <c r="AF17" i="5"/>
  <c r="AB18" i="5"/>
  <c r="AF18" i="5"/>
  <c r="AB19" i="5"/>
  <c r="AF19" i="5"/>
  <c r="AB20" i="5"/>
  <c r="AF20" i="5"/>
  <c r="AB21" i="5"/>
  <c r="AF21" i="5"/>
  <c r="AB22" i="5"/>
  <c r="AF22" i="5"/>
  <c r="AB28" i="5"/>
  <c r="AF28" i="5"/>
  <c r="AB29" i="5"/>
  <c r="AF29" i="5"/>
  <c r="AC30" i="5"/>
  <c r="AB31" i="5"/>
  <c r="AF31" i="5"/>
  <c r="AB32" i="5"/>
  <c r="AB33" i="5"/>
  <c r="AF33" i="5"/>
  <c r="AB34" i="5"/>
  <c r="AF34" i="5"/>
  <c r="AB35" i="5"/>
  <c r="AF35" i="5"/>
  <c r="AB40" i="5"/>
  <c r="AF40" i="5"/>
  <c r="AB41" i="5"/>
  <c r="AF41" i="5"/>
  <c r="AB42" i="5"/>
  <c r="AF42" i="5"/>
  <c r="AC44" i="5"/>
  <c r="AG44" i="5"/>
  <c r="AC51" i="5"/>
  <c r="AG51" i="5"/>
  <c r="AC52" i="5"/>
  <c r="AG52" i="5"/>
  <c r="AA53" i="5"/>
  <c r="AA71" i="5" s="1"/>
  <c r="AC31" i="5"/>
  <c r="AG31" i="5"/>
  <c r="AC32" i="5"/>
  <c r="AC33" i="5"/>
  <c r="AG33" i="5"/>
  <c r="AC34" i="5"/>
  <c r="AG34" i="5"/>
  <c r="AC35" i="5"/>
  <c r="AG35" i="5"/>
  <c r="AC40" i="5"/>
  <c r="AG40" i="5"/>
  <c r="AC41" i="5"/>
  <c r="AG41" i="5"/>
  <c r="AC42" i="5"/>
  <c r="AG42" i="5"/>
  <c r="AB44" i="5"/>
  <c r="AF44" i="5"/>
  <c r="AB51" i="5"/>
  <c r="AF51" i="5"/>
  <c r="AB52" i="5"/>
  <c r="AF52" i="5"/>
  <c r="AF55" i="5"/>
  <c r="AB55" i="5"/>
  <c r="AC57" i="5"/>
  <c r="AG57" i="5"/>
  <c r="AB58" i="5"/>
  <c r="AF58" i="5"/>
  <c r="AB59" i="5"/>
  <c r="AF59" i="5"/>
  <c r="AF60" i="5"/>
  <c r="AC61" i="5"/>
  <c r="AG61" i="5"/>
  <c r="AC62" i="5"/>
  <c r="AG62" i="5"/>
  <c r="AC63" i="5"/>
  <c r="AG63" i="5"/>
  <c r="AB64" i="5"/>
  <c r="AF64" i="5"/>
  <c r="AB66" i="5"/>
  <c r="AF66" i="5"/>
  <c r="AB67" i="5"/>
  <c r="AF67" i="5"/>
  <c r="AB68" i="5"/>
  <c r="AF68" i="5"/>
  <c r="X69" i="5"/>
  <c r="AC55" i="5"/>
  <c r="AG55" i="5"/>
  <c r="AB57" i="5"/>
  <c r="AF57" i="5"/>
  <c r="AC58" i="5"/>
  <c r="AG58" i="5"/>
  <c r="AC59" i="5"/>
  <c r="AG59" i="5"/>
  <c r="AC60" i="5"/>
  <c r="AG60" i="5"/>
  <c r="AB61" i="5"/>
  <c r="AF61" i="5"/>
  <c r="AB62" i="5"/>
  <c r="AF62" i="5"/>
  <c r="AB63" i="5"/>
  <c r="AF63" i="5"/>
  <c r="AC64" i="5"/>
  <c r="AG64" i="5"/>
  <c r="AC66" i="5"/>
  <c r="AG66" i="5"/>
  <c r="AC67" i="5"/>
  <c r="AG67" i="5"/>
  <c r="AC68" i="5"/>
  <c r="AG68" i="5"/>
  <c r="AC69" i="5"/>
  <c r="CE57" i="5" l="1"/>
  <c r="CE69" i="5" s="1"/>
  <c r="CA69" i="5"/>
  <c r="CE8" i="5"/>
  <c r="CE24" i="5" s="1"/>
  <c r="CA24" i="5"/>
  <c r="CA71" i="5" s="1"/>
  <c r="BE71" i="5"/>
  <c r="AB24" i="5"/>
  <c r="BB69" i="5"/>
  <c r="AF53" i="5"/>
  <c r="AC24" i="5"/>
  <c r="AB53" i="5"/>
  <c r="AG53" i="5"/>
  <c r="AC53" i="5"/>
  <c r="BB8" i="5"/>
  <c r="BB24" i="5" s="1"/>
  <c r="AX24" i="5"/>
  <c r="AX71" i="5" s="1"/>
  <c r="AT71" i="5"/>
  <c r="AY71" i="5"/>
  <c r="AG71" i="5"/>
  <c r="Y71" i="5"/>
  <c r="X71" i="5"/>
  <c r="AF69" i="5"/>
  <c r="AF71" i="5" s="1"/>
  <c r="AB69" i="5"/>
  <c r="CE71" i="5" l="1"/>
  <c r="AB71" i="5"/>
  <c r="BB71" i="5"/>
  <c r="AC71" i="5"/>
  <c r="AM71" i="5"/>
  <c r="AL61" i="6" l="1"/>
  <c r="AS56" i="6"/>
  <c r="AT56" i="6"/>
  <c r="AU56" i="6"/>
  <c r="AR56" i="6"/>
  <c r="AU55" i="6"/>
  <c r="AT55" i="6"/>
  <c r="AU54" i="6"/>
  <c r="AT54" i="6"/>
  <c r="AU53" i="6"/>
  <c r="AT53" i="6"/>
  <c r="AU52" i="6"/>
  <c r="AT52" i="6"/>
  <c r="AU51" i="6"/>
  <c r="AT51" i="6"/>
  <c r="AU50" i="6"/>
  <c r="AT50" i="6"/>
  <c r="AU49" i="6"/>
  <c r="AT49" i="6"/>
  <c r="AU48" i="6"/>
  <c r="AT48" i="6"/>
  <c r="AU47" i="6"/>
  <c r="AT47" i="6"/>
  <c r="AU46" i="6"/>
  <c r="AT46" i="6"/>
  <c r="AU45" i="6"/>
  <c r="AT45" i="6"/>
  <c r="AU44" i="6"/>
  <c r="AT44" i="6"/>
  <c r="AU43" i="6"/>
  <c r="AT43" i="6"/>
  <c r="AU41" i="6"/>
  <c r="AT41" i="6"/>
  <c r="AU40" i="6"/>
  <c r="AT40" i="6"/>
  <c r="AU38" i="6"/>
  <c r="AT38" i="6"/>
  <c r="AU35" i="6"/>
  <c r="AT35" i="6"/>
  <c r="AU21" i="6"/>
  <c r="AT21" i="6"/>
  <c r="AU20" i="6"/>
  <c r="AT20" i="6"/>
  <c r="AU19" i="6"/>
  <c r="AT19" i="6"/>
  <c r="AU18" i="6"/>
  <c r="AT18" i="6"/>
  <c r="AU17" i="6"/>
  <c r="AT17" i="6"/>
  <c r="AU16" i="6"/>
  <c r="AT16" i="6"/>
  <c r="AU15" i="6"/>
  <c r="AT15" i="6"/>
  <c r="AU14" i="6"/>
  <c r="AT14" i="6"/>
  <c r="AU13" i="6"/>
  <c r="AT13" i="6"/>
  <c r="AU12" i="6"/>
  <c r="AT12" i="6"/>
  <c r="AU11" i="6"/>
  <c r="AT11" i="6"/>
  <c r="AU10" i="6"/>
  <c r="AT10" i="6"/>
  <c r="AU9" i="6"/>
  <c r="AT9" i="6"/>
  <c r="AU8" i="6"/>
  <c r="AT8" i="6"/>
  <c r="AU7" i="6"/>
  <c r="AT7" i="6"/>
  <c r="AU64" i="6"/>
  <c r="AT64" i="6"/>
  <c r="AU22" i="6"/>
  <c r="AT22" i="6"/>
  <c r="AS58" i="6"/>
  <c r="AR58" i="6"/>
  <c r="AS55" i="6"/>
  <c r="AR55" i="6"/>
  <c r="AS54" i="6"/>
  <c r="AR54" i="6"/>
  <c r="AS53" i="6"/>
  <c r="AR53" i="6"/>
  <c r="AS52" i="6"/>
  <c r="AR52" i="6"/>
  <c r="AS51" i="6"/>
  <c r="AR51" i="6"/>
  <c r="AS50" i="6"/>
  <c r="AR50" i="6"/>
  <c r="AS49" i="6"/>
  <c r="AR49" i="6"/>
  <c r="AS48" i="6"/>
  <c r="AR48" i="6"/>
  <c r="AS47" i="6"/>
  <c r="AR47" i="6"/>
  <c r="AS46" i="6"/>
  <c r="AR46" i="6"/>
  <c r="AS45" i="6"/>
  <c r="AR45" i="6"/>
  <c r="AS44" i="6"/>
  <c r="AR44" i="6"/>
  <c r="AS43" i="6"/>
  <c r="AR43" i="6"/>
  <c r="AS42" i="6"/>
  <c r="AR42" i="6"/>
  <c r="AS41" i="6"/>
  <c r="AR41" i="6"/>
  <c r="AS40" i="6"/>
  <c r="AR40" i="6"/>
  <c r="AS39" i="6"/>
  <c r="AR39" i="6"/>
  <c r="AS38" i="6"/>
  <c r="AR38" i="6"/>
  <c r="AS35" i="6"/>
  <c r="AR35" i="6"/>
  <c r="AS34" i="6"/>
  <c r="AR34" i="6"/>
  <c r="AS33" i="6"/>
  <c r="AR33" i="6"/>
  <c r="AS32" i="6"/>
  <c r="AR32" i="6"/>
  <c r="AS31" i="6"/>
  <c r="AR31" i="6"/>
  <c r="AS30" i="6"/>
  <c r="AR30" i="6"/>
  <c r="AS29" i="6"/>
  <c r="AR29" i="6"/>
  <c r="AS28" i="6"/>
  <c r="AR28" i="6"/>
  <c r="AS27" i="6"/>
  <c r="AR27" i="6"/>
  <c r="AR8" i="6"/>
  <c r="AR22" i="6" s="1"/>
  <c r="AS8" i="6"/>
  <c r="AR9" i="6"/>
  <c r="AS9" i="6"/>
  <c r="AR10" i="6"/>
  <c r="AS10" i="6"/>
  <c r="AR11" i="6"/>
  <c r="AS11" i="6"/>
  <c r="AR12" i="6"/>
  <c r="AS12" i="6"/>
  <c r="AR13" i="6"/>
  <c r="AS13" i="6"/>
  <c r="AR14" i="6"/>
  <c r="AS14" i="6"/>
  <c r="AR15" i="6"/>
  <c r="AS15" i="6"/>
  <c r="AR16" i="6"/>
  <c r="AS16" i="6"/>
  <c r="AR17" i="6"/>
  <c r="AS17" i="6"/>
  <c r="AR18" i="6"/>
  <c r="AS18" i="6"/>
  <c r="AR19" i="6"/>
  <c r="AS19" i="6"/>
  <c r="AR20" i="6"/>
  <c r="AS20" i="6"/>
  <c r="AR21" i="6"/>
  <c r="AS21" i="6"/>
  <c r="AS7" i="6"/>
  <c r="AR7" i="6"/>
  <c r="AS22" i="6"/>
  <c r="AN52" i="7"/>
  <c r="AM52" i="7"/>
  <c r="AN50" i="7"/>
  <c r="AM50" i="7"/>
  <c r="AN49" i="7"/>
  <c r="AM49" i="7"/>
  <c r="AN48" i="7"/>
  <c r="AM48" i="7"/>
  <c r="AN47" i="7"/>
  <c r="AM47" i="7"/>
  <c r="AN46" i="7"/>
  <c r="AM46" i="7"/>
  <c r="AN45" i="7"/>
  <c r="AM45" i="7"/>
  <c r="AN44" i="7"/>
  <c r="AM44" i="7"/>
  <c r="AN43" i="7"/>
  <c r="AM43" i="7"/>
  <c r="AN42" i="7"/>
  <c r="AM42" i="7"/>
  <c r="AN41" i="7"/>
  <c r="AM41" i="7"/>
  <c r="AN40" i="7"/>
  <c r="AM40" i="7"/>
  <c r="AN39" i="7"/>
  <c r="AM39" i="7"/>
  <c r="AN38" i="7"/>
  <c r="AM38" i="7"/>
  <c r="AN37" i="7"/>
  <c r="AM37" i="7"/>
  <c r="AN36" i="7"/>
  <c r="AM36" i="7"/>
  <c r="AN35" i="7"/>
  <c r="AM35" i="7"/>
  <c r="AN34" i="7"/>
  <c r="AM34" i="7"/>
  <c r="AN33" i="7"/>
  <c r="AM33" i="7"/>
  <c r="AN30" i="7"/>
  <c r="AM30" i="7"/>
  <c r="AN29" i="7"/>
  <c r="AN20" i="7"/>
  <c r="AM20" i="7"/>
  <c r="AN19" i="7"/>
  <c r="AM19" i="7"/>
  <c r="AN18" i="7"/>
  <c r="AM18" i="7"/>
  <c r="AN16" i="7"/>
  <c r="AM16" i="7"/>
  <c r="AN15" i="7"/>
  <c r="AM15" i="7"/>
  <c r="AN14" i="7"/>
  <c r="AM14" i="7"/>
  <c r="AN13" i="7"/>
  <c r="AM13" i="7"/>
  <c r="AN12" i="7"/>
  <c r="AM12" i="7"/>
  <c r="AN11" i="7"/>
  <c r="AM11" i="7"/>
  <c r="AN10" i="7"/>
  <c r="AM10" i="7"/>
  <c r="AN9" i="7"/>
  <c r="AM9" i="7"/>
  <c r="AN8" i="7"/>
  <c r="AM8" i="7"/>
  <c r="AN6" i="7"/>
  <c r="AM6" i="7"/>
  <c r="AN4" i="7"/>
  <c r="AM4" i="7"/>
  <c r="AJ52" i="7"/>
  <c r="AI52" i="7"/>
  <c r="AJ51" i="7"/>
  <c r="AN51" i="7" s="1"/>
  <c r="AI51" i="7"/>
  <c r="AM51" i="7" s="1"/>
  <c r="AJ50" i="7"/>
  <c r="AI50" i="7"/>
  <c r="AJ49" i="7"/>
  <c r="AI49" i="7"/>
  <c r="AJ48" i="7"/>
  <c r="AI48" i="7"/>
  <c r="AJ47" i="7"/>
  <c r="AI47" i="7"/>
  <c r="AJ46" i="7"/>
  <c r="AI46" i="7"/>
  <c r="AJ45" i="7"/>
  <c r="AI45" i="7"/>
  <c r="AJ42" i="7"/>
  <c r="AI42" i="7"/>
  <c r="AJ41" i="7"/>
  <c r="AI41" i="7"/>
  <c r="AJ40" i="7"/>
  <c r="AI40" i="7"/>
  <c r="AJ39" i="7"/>
  <c r="AI39" i="7"/>
  <c r="AJ37" i="7"/>
  <c r="AI37" i="7"/>
  <c r="AJ36" i="7"/>
  <c r="AI36" i="7"/>
  <c r="AJ35" i="7"/>
  <c r="AI35" i="7"/>
  <c r="AJ34" i="7"/>
  <c r="AI34" i="7"/>
  <c r="AJ33" i="7"/>
  <c r="AI33" i="7"/>
  <c r="AJ32" i="7"/>
  <c r="AI32" i="7"/>
  <c r="AJ30" i="7"/>
  <c r="AI30" i="7"/>
  <c r="AJ29" i="7"/>
  <c r="AI29" i="7"/>
  <c r="AM29" i="7" s="1"/>
  <c r="AN28" i="7"/>
  <c r="AI28" i="7"/>
  <c r="AM28" i="7" s="1"/>
  <c r="AJ27" i="7"/>
  <c r="AN27" i="7" s="1"/>
  <c r="AI27" i="7"/>
  <c r="AM27" i="7" s="1"/>
  <c r="AJ26" i="7"/>
  <c r="AN26" i="7" s="1"/>
  <c r="AI26" i="7"/>
  <c r="AM26" i="7" s="1"/>
  <c r="AJ25" i="7"/>
  <c r="AN25" i="7" s="1"/>
  <c r="AI25" i="7"/>
  <c r="AM25" i="7" s="1"/>
  <c r="AJ24" i="7"/>
  <c r="AN24" i="7" s="1"/>
  <c r="AI24" i="7"/>
  <c r="AM24" i="7" s="1"/>
  <c r="AJ23" i="7"/>
  <c r="AN23" i="7" s="1"/>
  <c r="AI23" i="7"/>
  <c r="AM23" i="7" s="1"/>
  <c r="AJ22" i="7"/>
  <c r="AN22" i="7" s="1"/>
  <c r="AI22" i="7"/>
  <c r="AM22" i="7" s="1"/>
  <c r="AJ21" i="7"/>
  <c r="AN21" i="7" s="1"/>
  <c r="AI21" i="7"/>
  <c r="AM21" i="7" s="1"/>
  <c r="AL52" i="7"/>
  <c r="AK52" i="7"/>
  <c r="AL51" i="7"/>
  <c r="AK51" i="7"/>
  <c r="AL50" i="7"/>
  <c r="AK50" i="7"/>
  <c r="AL49" i="7"/>
  <c r="AK49" i="7"/>
  <c r="AL48" i="7"/>
  <c r="AK48" i="7"/>
  <c r="AL47" i="7"/>
  <c r="AK47" i="7"/>
  <c r="AL46" i="7"/>
  <c r="AK46" i="7"/>
  <c r="AL45" i="7"/>
  <c r="AK45" i="7"/>
  <c r="AL42" i="7"/>
  <c r="AK42" i="7"/>
  <c r="AL41" i="7"/>
  <c r="AK41" i="7"/>
  <c r="AL40" i="7"/>
  <c r="AK40" i="7"/>
  <c r="AL39" i="7"/>
  <c r="AK39" i="7"/>
  <c r="AL37" i="7"/>
  <c r="AK37" i="7"/>
  <c r="AL36" i="7"/>
  <c r="AK36" i="7"/>
  <c r="AL35" i="7"/>
  <c r="AK35" i="7"/>
  <c r="AL34" i="7"/>
  <c r="AK34" i="7"/>
  <c r="AL33" i="7"/>
  <c r="AK33" i="7"/>
  <c r="AL32" i="7"/>
  <c r="AK32" i="7"/>
  <c r="AL30" i="7"/>
  <c r="AK30" i="7"/>
  <c r="AL29" i="7"/>
  <c r="AK29" i="7"/>
  <c r="AL28" i="7"/>
  <c r="AK28" i="7"/>
  <c r="AL27" i="7"/>
  <c r="AK27" i="7"/>
  <c r="AL26" i="7"/>
  <c r="AK26" i="7"/>
  <c r="AL25" i="7"/>
  <c r="AK25" i="7"/>
  <c r="AL24" i="7"/>
  <c r="AK24" i="7"/>
  <c r="AL23" i="7"/>
  <c r="AK23" i="7"/>
  <c r="AL22" i="7"/>
  <c r="AK22" i="7"/>
  <c r="AL21" i="7"/>
  <c r="AK21" i="7"/>
  <c r="AK5" i="7"/>
  <c r="AK20" i="7" s="1"/>
  <c r="AK53" i="7" s="1"/>
  <c r="AL5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L4" i="7"/>
  <c r="AK4" i="7"/>
  <c r="AL31" i="7"/>
  <c r="AK31" i="7"/>
  <c r="AL20" i="7"/>
  <c r="AI5" i="7"/>
  <c r="AJ5" i="7"/>
  <c r="AI6" i="7"/>
  <c r="AJ6" i="7"/>
  <c r="AI7" i="7"/>
  <c r="AJ7" i="7"/>
  <c r="AI8" i="7"/>
  <c r="AJ8" i="7"/>
  <c r="AI9" i="7"/>
  <c r="AJ9" i="7"/>
  <c r="AI10" i="7"/>
  <c r="AJ10" i="7"/>
  <c r="AI11" i="7"/>
  <c r="AJ11" i="7"/>
  <c r="AI12" i="7"/>
  <c r="AJ12" i="7"/>
  <c r="AI13" i="7"/>
  <c r="AJ13" i="7"/>
  <c r="AI14" i="7"/>
  <c r="AJ14" i="7"/>
  <c r="AI15" i="7"/>
  <c r="AJ15" i="7"/>
  <c r="AI16" i="7"/>
  <c r="AJ16" i="7"/>
  <c r="AI17" i="7"/>
  <c r="AJ17" i="7"/>
  <c r="AI18" i="7"/>
  <c r="AJ18" i="7"/>
  <c r="AI19" i="7"/>
  <c r="AI20" i="7" s="1"/>
  <c r="AJ19" i="7"/>
  <c r="AJ4" i="7"/>
  <c r="AI4" i="7"/>
  <c r="AJ44" i="7"/>
  <c r="AI44" i="7"/>
  <c r="AJ31" i="7"/>
  <c r="AJ20" i="7"/>
  <c r="AH30" i="7"/>
  <c r="AG30" i="7"/>
  <c r="AE31" i="7"/>
  <c r="C43" i="7"/>
  <c r="C38" i="7"/>
  <c r="C44" i="7" s="1"/>
  <c r="C53" i="7" s="1"/>
  <c r="D31" i="7"/>
  <c r="E31" i="7"/>
  <c r="F31" i="7"/>
  <c r="G31" i="7"/>
  <c r="I31" i="7"/>
  <c r="J31" i="7"/>
  <c r="K31" i="7"/>
  <c r="M31" i="7"/>
  <c r="N31" i="7"/>
  <c r="O31" i="7"/>
  <c r="P31" i="7"/>
  <c r="Q31" i="7"/>
  <c r="R31" i="7"/>
  <c r="S31" i="7"/>
  <c r="T31" i="7"/>
  <c r="U31" i="7"/>
  <c r="V31" i="7"/>
  <c r="W31" i="7"/>
  <c r="X31" i="7"/>
  <c r="AC31" i="7"/>
  <c r="AD31" i="7"/>
  <c r="AF31" i="7"/>
  <c r="C31" i="7"/>
  <c r="C20" i="7"/>
  <c r="AH52" i="7"/>
  <c r="AG52" i="7"/>
  <c r="AH51" i="7"/>
  <c r="AG51" i="7"/>
  <c r="AH50" i="7"/>
  <c r="AG50" i="7"/>
  <c r="AH49" i="7"/>
  <c r="AG49" i="7"/>
  <c r="AH48" i="7"/>
  <c r="AG48" i="7"/>
  <c r="AH47" i="7"/>
  <c r="AG47" i="7"/>
  <c r="AH46" i="7"/>
  <c r="AG46" i="7"/>
  <c r="AH45" i="7"/>
  <c r="AG45" i="7"/>
  <c r="AH43" i="7"/>
  <c r="AG43" i="7"/>
  <c r="AH42" i="7"/>
  <c r="AG42" i="7"/>
  <c r="AH41" i="7"/>
  <c r="AG41" i="7"/>
  <c r="AH40" i="7"/>
  <c r="AG40" i="7"/>
  <c r="AH39" i="7"/>
  <c r="AG39" i="7"/>
  <c r="AH38" i="7"/>
  <c r="AG38" i="7"/>
  <c r="AH37" i="7"/>
  <c r="AG37" i="7"/>
  <c r="AH36" i="7"/>
  <c r="AG36" i="7"/>
  <c r="AH35" i="7"/>
  <c r="AG35" i="7"/>
  <c r="AH34" i="7"/>
  <c r="AG34" i="7"/>
  <c r="AH33" i="7"/>
  <c r="AG33" i="7"/>
  <c r="AH29" i="7"/>
  <c r="AG29" i="7"/>
  <c r="AH28" i="7"/>
  <c r="AG28" i="7"/>
  <c r="AH27" i="7"/>
  <c r="AG27" i="7"/>
  <c r="AH26" i="7"/>
  <c r="AG26" i="7"/>
  <c r="AH25" i="7"/>
  <c r="AG25" i="7"/>
  <c r="AH24" i="7"/>
  <c r="AG24" i="7"/>
  <c r="AH23" i="7"/>
  <c r="AG23" i="7"/>
  <c r="AH22" i="7"/>
  <c r="AG22" i="7"/>
  <c r="AH21" i="7"/>
  <c r="AG21" i="7"/>
  <c r="AH19" i="7"/>
  <c r="AG19" i="7"/>
  <c r="AH18" i="7"/>
  <c r="AG18" i="7"/>
  <c r="AH16" i="7"/>
  <c r="AG16" i="7"/>
  <c r="AH15" i="7"/>
  <c r="AG15" i="7"/>
  <c r="AH14" i="7"/>
  <c r="AG14" i="7"/>
  <c r="AH13" i="7"/>
  <c r="AG13" i="7"/>
  <c r="AH12" i="7"/>
  <c r="AG12" i="7"/>
  <c r="AH11" i="7"/>
  <c r="AG11" i="7"/>
  <c r="AH10" i="7"/>
  <c r="AG10" i="7"/>
  <c r="AH9" i="7"/>
  <c r="AG9" i="7"/>
  <c r="AH8" i="7"/>
  <c r="AG8" i="7"/>
  <c r="AH6" i="7"/>
  <c r="AG6" i="7"/>
  <c r="AG4" i="7"/>
  <c r="AH4" i="7"/>
  <c r="AH44" i="7"/>
  <c r="AG44" i="7"/>
  <c r="AH20" i="7"/>
  <c r="AG20" i="7"/>
  <c r="AF20" i="7"/>
  <c r="AE20" i="7"/>
  <c r="AE53" i="7" s="1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I22" i="6"/>
  <c r="AJ22" i="6"/>
  <c r="AK22" i="6"/>
  <c r="AL22" i="6"/>
  <c r="AM22" i="6"/>
  <c r="AN22" i="6"/>
  <c r="AO22" i="6"/>
  <c r="AP22" i="6"/>
  <c r="AQ22" i="6"/>
  <c r="AH22" i="6"/>
  <c r="AH31" i="7" l="1"/>
  <c r="AG31" i="7"/>
  <c r="AN31" i="7"/>
  <c r="AI31" i="7"/>
  <c r="AI53" i="7" s="1"/>
  <c r="AM53" i="7" s="1"/>
  <c r="AM31" i="7"/>
  <c r="AJ53" i="7"/>
  <c r="AN53" i="7" s="1"/>
  <c r="AL53" i="7"/>
  <c r="AF53" i="7"/>
  <c r="AD44" i="7"/>
  <c r="AC44" i="7"/>
  <c r="AD20" i="7"/>
  <c r="AD53" i="7" s="1"/>
  <c r="AC20" i="7"/>
  <c r="AC53" i="7" s="1"/>
  <c r="AG53" i="7" s="1"/>
  <c r="AA4" i="7"/>
  <c r="T57" i="7"/>
  <c r="S57" i="7"/>
  <c r="AB52" i="7"/>
  <c r="Z52" i="7"/>
  <c r="Y52" i="7"/>
  <c r="R52" i="7"/>
  <c r="Q52" i="7"/>
  <c r="AB51" i="7"/>
  <c r="AA51" i="7"/>
  <c r="Z51" i="7"/>
  <c r="Y51" i="7"/>
  <c r="R51" i="7"/>
  <c r="Q51" i="7"/>
  <c r="AB50" i="7"/>
  <c r="AA50" i="7"/>
  <c r="Z50" i="7"/>
  <c r="Y50" i="7"/>
  <c r="R50" i="7"/>
  <c r="Q50" i="7"/>
  <c r="AB49" i="7"/>
  <c r="AA49" i="7"/>
  <c r="Z49" i="7"/>
  <c r="Y49" i="7"/>
  <c r="R49" i="7"/>
  <c r="Q49" i="7"/>
  <c r="AB48" i="7"/>
  <c r="AA48" i="7"/>
  <c r="Z48" i="7"/>
  <c r="Y48" i="7"/>
  <c r="R48" i="7"/>
  <c r="Q48" i="7"/>
  <c r="Z47" i="7"/>
  <c r="Y47" i="7"/>
  <c r="R47" i="7"/>
  <c r="Q47" i="7"/>
  <c r="AB46" i="7"/>
  <c r="AA46" i="7"/>
  <c r="Z46" i="7"/>
  <c r="Y46" i="7"/>
  <c r="R46" i="7"/>
  <c r="Q46" i="7"/>
  <c r="AB45" i="7"/>
  <c r="AA45" i="7"/>
  <c r="Z45" i="7"/>
  <c r="Y45" i="7"/>
  <c r="R45" i="7"/>
  <c r="Q45" i="7"/>
  <c r="X44" i="7"/>
  <c r="Z44" i="7" s="1"/>
  <c r="W44" i="7"/>
  <c r="Y44" i="7" s="1"/>
  <c r="V44" i="7"/>
  <c r="AB44" i="7" s="1"/>
  <c r="U44" i="7"/>
  <c r="AA44" i="7" s="1"/>
  <c r="AB43" i="7"/>
  <c r="AA43" i="7"/>
  <c r="Z43" i="7"/>
  <c r="Y43" i="7"/>
  <c r="N43" i="7"/>
  <c r="R43" i="7" s="1"/>
  <c r="M43" i="7"/>
  <c r="Q43" i="7" s="1"/>
  <c r="AB42" i="7"/>
  <c r="AA42" i="7"/>
  <c r="R42" i="7"/>
  <c r="Q42" i="7"/>
  <c r="AB41" i="7"/>
  <c r="AA41" i="7"/>
  <c r="R41" i="7"/>
  <c r="Q41" i="7"/>
  <c r="AB40" i="7"/>
  <c r="AA40" i="7"/>
  <c r="R40" i="7"/>
  <c r="Q40" i="7"/>
  <c r="AB39" i="7"/>
  <c r="AA39" i="7"/>
  <c r="R39" i="7"/>
  <c r="Q39" i="7"/>
  <c r="AB38" i="7"/>
  <c r="AA38" i="7"/>
  <c r="Z38" i="7"/>
  <c r="Y38" i="7"/>
  <c r="N38" i="7"/>
  <c r="N44" i="7" s="1"/>
  <c r="R44" i="7" s="1"/>
  <c r="M38" i="7"/>
  <c r="M44" i="7" s="1"/>
  <c r="Q44" i="7" s="1"/>
  <c r="AB37" i="7"/>
  <c r="AA37" i="7"/>
  <c r="R37" i="7"/>
  <c r="Q37" i="7"/>
  <c r="AB36" i="7"/>
  <c r="AA36" i="7"/>
  <c r="R36" i="7"/>
  <c r="Q36" i="7"/>
  <c r="AB35" i="7"/>
  <c r="AA35" i="7"/>
  <c r="R35" i="7"/>
  <c r="Q35" i="7"/>
  <c r="AB34" i="7"/>
  <c r="AA34" i="7"/>
  <c r="R34" i="7"/>
  <c r="Q34" i="7"/>
  <c r="AB33" i="7"/>
  <c r="AA33" i="7"/>
  <c r="R33" i="7"/>
  <c r="Q33" i="7"/>
  <c r="AB32" i="7"/>
  <c r="AA32" i="7"/>
  <c r="R32" i="7"/>
  <c r="Q32" i="7"/>
  <c r="AB29" i="7"/>
  <c r="AA29" i="7"/>
  <c r="Z29" i="7"/>
  <c r="Y29" i="7"/>
  <c r="R29" i="7"/>
  <c r="Q29" i="7"/>
  <c r="AB28" i="7"/>
  <c r="AB31" i="7" s="1"/>
  <c r="AA28" i="7"/>
  <c r="AA31" i="7" s="1"/>
  <c r="Z28" i="7"/>
  <c r="Z31" i="7" s="1"/>
  <c r="Y28" i="7"/>
  <c r="Y31" i="7" s="1"/>
  <c r="R28" i="7"/>
  <c r="Q28" i="7"/>
  <c r="AB27" i="7"/>
  <c r="AA27" i="7"/>
  <c r="Z27" i="7"/>
  <c r="Y27" i="7"/>
  <c r="R27" i="7"/>
  <c r="Q27" i="7"/>
  <c r="AB26" i="7"/>
  <c r="AA26" i="7"/>
  <c r="Z26" i="7"/>
  <c r="Y26" i="7"/>
  <c r="R26" i="7"/>
  <c r="Q26" i="7"/>
  <c r="AB25" i="7"/>
  <c r="AA25" i="7"/>
  <c r="Z25" i="7"/>
  <c r="Y25" i="7"/>
  <c r="R25" i="7"/>
  <c r="Q25" i="7"/>
  <c r="AB24" i="7"/>
  <c r="AA24" i="7"/>
  <c r="Z24" i="7"/>
  <c r="Y24" i="7"/>
  <c r="R24" i="7"/>
  <c r="Q24" i="7"/>
  <c r="AB23" i="7"/>
  <c r="AA23" i="7"/>
  <c r="Z23" i="7"/>
  <c r="Y23" i="7"/>
  <c r="R23" i="7"/>
  <c r="Q23" i="7"/>
  <c r="AB22" i="7"/>
  <c r="AA22" i="7"/>
  <c r="Z22" i="7"/>
  <c r="Y22" i="7"/>
  <c r="R22" i="7"/>
  <c r="Q22" i="7"/>
  <c r="AB21" i="7"/>
  <c r="AA21" i="7"/>
  <c r="Z21" i="7"/>
  <c r="Y21" i="7"/>
  <c r="R21" i="7"/>
  <c r="Q21" i="7"/>
  <c r="X20" i="7"/>
  <c r="X53" i="7" s="1"/>
  <c r="W20" i="7"/>
  <c r="V20" i="7"/>
  <c r="V53" i="7" s="1"/>
  <c r="AB53" i="7" s="1"/>
  <c r="U20" i="7"/>
  <c r="AA20" i="7" s="1"/>
  <c r="P20" i="7"/>
  <c r="P53" i="7" s="1"/>
  <c r="O20" i="7"/>
  <c r="Q20" i="7" s="1"/>
  <c r="N20" i="7"/>
  <c r="N53" i="7" s="1"/>
  <c r="M20" i="7"/>
  <c r="M53" i="7" s="1"/>
  <c r="AB19" i="7"/>
  <c r="AA19" i="7"/>
  <c r="Z19" i="7"/>
  <c r="Y19" i="7"/>
  <c r="R19" i="7"/>
  <c r="Q19" i="7"/>
  <c r="AB18" i="7"/>
  <c r="AA18" i="7"/>
  <c r="Z18" i="7"/>
  <c r="Y18" i="7"/>
  <c r="R18" i="7"/>
  <c r="Q18" i="7"/>
  <c r="AB16" i="7"/>
  <c r="AA16" i="7"/>
  <c r="Z16" i="7"/>
  <c r="Y16" i="7"/>
  <c r="R16" i="7"/>
  <c r="Q16" i="7"/>
  <c r="AB15" i="7"/>
  <c r="AA15" i="7"/>
  <c r="Z15" i="7"/>
  <c r="Y15" i="7"/>
  <c r="R15" i="7"/>
  <c r="Q15" i="7"/>
  <c r="AB14" i="7"/>
  <c r="AA14" i="7"/>
  <c r="Z14" i="7"/>
  <c r="Y14" i="7"/>
  <c r="R14" i="7"/>
  <c r="Q14" i="7"/>
  <c r="AB13" i="7"/>
  <c r="AA13" i="7"/>
  <c r="Z13" i="7"/>
  <c r="Y13" i="7"/>
  <c r="R13" i="7"/>
  <c r="Q13" i="7"/>
  <c r="AB12" i="7"/>
  <c r="AA12" i="7"/>
  <c r="Z12" i="7"/>
  <c r="Y12" i="7"/>
  <c r="R12" i="7"/>
  <c r="Q12" i="7"/>
  <c r="AB11" i="7"/>
  <c r="AA11" i="7"/>
  <c r="Z11" i="7"/>
  <c r="Y11" i="7"/>
  <c r="R11" i="7"/>
  <c r="Q11" i="7"/>
  <c r="AB10" i="7"/>
  <c r="AA10" i="7"/>
  <c r="Z10" i="7"/>
  <c r="Y10" i="7"/>
  <c r="R10" i="7"/>
  <c r="Q10" i="7"/>
  <c r="AB9" i="7"/>
  <c r="AA9" i="7"/>
  <c r="Z9" i="7"/>
  <c r="Y9" i="7"/>
  <c r="R9" i="7"/>
  <c r="Q9" i="7"/>
  <c r="AB8" i="7"/>
  <c r="AA8" i="7"/>
  <c r="Z8" i="7"/>
  <c r="Y8" i="7"/>
  <c r="R8" i="7"/>
  <c r="Q8" i="7"/>
  <c r="AB6" i="7"/>
  <c r="AA6" i="7"/>
  <c r="Z6" i="7"/>
  <c r="Y6" i="7"/>
  <c r="R6" i="7"/>
  <c r="Q6" i="7"/>
  <c r="AB4" i="7"/>
  <c r="Z4" i="7"/>
  <c r="Y4" i="7"/>
  <c r="R4" i="7"/>
  <c r="Q4" i="7"/>
  <c r="Y20" i="7" l="1"/>
  <c r="AH53" i="7"/>
  <c r="R53" i="7"/>
  <c r="Z53" i="7"/>
  <c r="R20" i="7"/>
  <c r="R38" i="7"/>
  <c r="O53" i="7"/>
  <c r="Q53" i="7" s="1"/>
  <c r="U53" i="7"/>
  <c r="AA53" i="7" s="1"/>
  <c r="W53" i="7"/>
  <c r="Z20" i="7"/>
  <c r="AB20" i="7"/>
  <c r="Q38" i="7"/>
  <c r="Y53" i="7" l="1"/>
  <c r="AP7" i="6"/>
  <c r="AQ21" i="6"/>
  <c r="AP21" i="6"/>
  <c r="AQ20" i="6"/>
  <c r="AP20" i="6"/>
  <c r="AQ19" i="6"/>
  <c r="AP19" i="6"/>
  <c r="AQ18" i="6"/>
  <c r="AP18" i="6"/>
  <c r="AQ17" i="6"/>
  <c r="AP17" i="6"/>
  <c r="AQ16" i="6"/>
  <c r="AP16" i="6"/>
  <c r="AQ15" i="6"/>
  <c r="AP15" i="6"/>
  <c r="AQ14" i="6"/>
  <c r="AP14" i="6"/>
  <c r="AQ13" i="6"/>
  <c r="AP13" i="6"/>
  <c r="AQ12" i="6"/>
  <c r="AP12" i="6"/>
  <c r="AQ11" i="6"/>
  <c r="AP11" i="6"/>
  <c r="AQ10" i="6"/>
  <c r="AP10" i="6"/>
  <c r="AQ9" i="6"/>
  <c r="AP9" i="6"/>
  <c r="AQ8" i="6"/>
  <c r="AP8" i="6"/>
  <c r="AQ7" i="6"/>
  <c r="AQ35" i="6"/>
  <c r="AP35" i="6"/>
  <c r="AQ34" i="6"/>
  <c r="AU34" i="6" s="1"/>
  <c r="AP34" i="6"/>
  <c r="AT34" i="6" s="1"/>
  <c r="AQ33" i="6"/>
  <c r="AU33" i="6" s="1"/>
  <c r="AP33" i="6"/>
  <c r="AT33" i="6" s="1"/>
  <c r="AQ32" i="6"/>
  <c r="AU32" i="6" s="1"/>
  <c r="AP32" i="6"/>
  <c r="AT32" i="6" s="1"/>
  <c r="AQ31" i="6"/>
  <c r="AU31" i="6" s="1"/>
  <c r="AP31" i="6"/>
  <c r="AT31" i="6" s="1"/>
  <c r="AQ30" i="6"/>
  <c r="AU30" i="6" s="1"/>
  <c r="AP30" i="6"/>
  <c r="AT30" i="6" s="1"/>
  <c r="AQ29" i="6"/>
  <c r="AU29" i="6" s="1"/>
  <c r="AP29" i="6"/>
  <c r="AT29" i="6" s="1"/>
  <c r="AQ28" i="6"/>
  <c r="AU28" i="6" s="1"/>
  <c r="AP28" i="6"/>
  <c r="AT28" i="6" s="1"/>
  <c r="AQ27" i="6"/>
  <c r="AU27" i="6" s="1"/>
  <c r="AP27" i="6"/>
  <c r="AT27" i="6" s="1"/>
  <c r="AQ26" i="6"/>
  <c r="AQ58" i="6"/>
  <c r="AU58" i="6" s="1"/>
  <c r="AP58" i="6"/>
  <c r="AT58" i="6" s="1"/>
  <c r="AQ55" i="6"/>
  <c r="AP55" i="6"/>
  <c r="AQ54" i="6"/>
  <c r="AP54" i="6"/>
  <c r="AQ53" i="6"/>
  <c r="AP53" i="6"/>
  <c r="AQ52" i="6"/>
  <c r="AP52" i="6"/>
  <c r="AQ51" i="6"/>
  <c r="AP51" i="6"/>
  <c r="AQ50" i="6"/>
  <c r="AP50" i="6"/>
  <c r="AQ49" i="6"/>
  <c r="AP49" i="6"/>
  <c r="AQ48" i="6"/>
  <c r="AP48" i="6"/>
  <c r="AQ47" i="6"/>
  <c r="AP47" i="6"/>
  <c r="AQ46" i="6"/>
  <c r="AP46" i="6"/>
  <c r="AQ45" i="6"/>
  <c r="AP45" i="6"/>
  <c r="AQ44" i="6"/>
  <c r="AP44" i="6"/>
  <c r="AQ43" i="6"/>
  <c r="AP43" i="6"/>
  <c r="AQ41" i="6"/>
  <c r="AP41" i="6"/>
  <c r="AQ40" i="6"/>
  <c r="AP40" i="6"/>
  <c r="AQ38" i="6"/>
  <c r="AQ56" i="6" s="1"/>
  <c r="AP38" i="6"/>
  <c r="X38" i="6"/>
  <c r="AP56" i="6"/>
  <c r="AQ36" i="6"/>
  <c r="AP36" i="6"/>
  <c r="AJ7" i="4"/>
  <c r="AK7" i="4"/>
  <c r="AO7" i="4" s="1"/>
  <c r="AJ8" i="4"/>
  <c r="AN8" i="4" s="1"/>
  <c r="AK8" i="4"/>
  <c r="AO8" i="4" s="1"/>
  <c r="AJ9" i="4"/>
  <c r="AN9" i="4" s="1"/>
  <c r="AK9" i="4"/>
  <c r="AO9" i="4" s="1"/>
  <c r="AJ10" i="4"/>
  <c r="AN10" i="4" s="1"/>
  <c r="AK10" i="4"/>
  <c r="AO10" i="4" s="1"/>
  <c r="AJ11" i="4"/>
  <c r="AN11" i="4" s="1"/>
  <c r="AK11" i="4"/>
  <c r="AO11" i="4" s="1"/>
  <c r="AJ12" i="4"/>
  <c r="AN12" i="4" s="1"/>
  <c r="AT12" i="4" s="1"/>
  <c r="AV12" i="4" s="1"/>
  <c r="AK12" i="4"/>
  <c r="AO12" i="4" s="1"/>
  <c r="AU12" i="4" s="1"/>
  <c r="AW12" i="4" s="1"/>
  <c r="AJ14" i="4"/>
  <c r="AN14" i="4" s="1"/>
  <c r="AT14" i="4" s="1"/>
  <c r="AV14" i="4" s="1"/>
  <c r="AK14" i="4"/>
  <c r="AO14" i="4" s="1"/>
  <c r="AU14" i="4" s="1"/>
  <c r="AW14" i="4" s="1"/>
  <c r="AJ15" i="4"/>
  <c r="AN15" i="4" s="1"/>
  <c r="AT15" i="4" s="1"/>
  <c r="AV15" i="4" s="1"/>
  <c r="AK15" i="4"/>
  <c r="AO15" i="4" s="1"/>
  <c r="AU15" i="4" s="1"/>
  <c r="AW15" i="4" s="1"/>
  <c r="AJ16" i="4"/>
  <c r="AN16" i="4" s="1"/>
  <c r="AT16" i="4" s="1"/>
  <c r="AV16" i="4" s="1"/>
  <c r="AK16" i="4"/>
  <c r="AO16" i="4" s="1"/>
  <c r="AU16" i="4" s="1"/>
  <c r="AW16" i="4" s="1"/>
  <c r="AK6" i="4"/>
  <c r="AO6" i="4" s="1"/>
  <c r="AJ6" i="4"/>
  <c r="AN6" i="4" s="1"/>
  <c r="AK35" i="4"/>
  <c r="AO35" i="4" s="1"/>
  <c r="AJ35" i="4"/>
  <c r="AN35" i="4" s="1"/>
  <c r="AK30" i="4"/>
  <c r="AO30" i="4" s="1"/>
  <c r="AJ30" i="4"/>
  <c r="AN30" i="4" s="1"/>
  <c r="AI35" i="4"/>
  <c r="AH35" i="4"/>
  <c r="AI30" i="4"/>
  <c r="AH30" i="4"/>
  <c r="AI17" i="4"/>
  <c r="AH39" i="4"/>
  <c r="S39" i="4"/>
  <c r="R39" i="4"/>
  <c r="Y35" i="4"/>
  <c r="AE35" i="4" s="1"/>
  <c r="X35" i="4"/>
  <c r="AD35" i="4" s="1"/>
  <c r="O35" i="4"/>
  <c r="N35" i="4"/>
  <c r="M35" i="4"/>
  <c r="L35" i="4"/>
  <c r="AE34" i="4"/>
  <c r="AD34" i="4"/>
  <c r="AA34" i="4"/>
  <c r="Z34" i="4"/>
  <c r="U34" i="4"/>
  <c r="T34" i="4"/>
  <c r="Q34" i="4"/>
  <c r="P34" i="4"/>
  <c r="AE33" i="4"/>
  <c r="AD33" i="4"/>
  <c r="AA33" i="4"/>
  <c r="Z33" i="4"/>
  <c r="U33" i="4"/>
  <c r="T33" i="4"/>
  <c r="Q33" i="4"/>
  <c r="P33" i="4"/>
  <c r="Y30" i="4"/>
  <c r="AE30" i="4" s="1"/>
  <c r="X30" i="4"/>
  <c r="AD30" i="4" s="1"/>
  <c r="W30" i="4"/>
  <c r="AA30" i="4" s="1"/>
  <c r="V30" i="4"/>
  <c r="Z30" i="4" s="1"/>
  <c r="O30" i="4"/>
  <c r="U30" i="4" s="1"/>
  <c r="N30" i="4"/>
  <c r="T30" i="4" s="1"/>
  <c r="M30" i="4"/>
  <c r="L30" i="4"/>
  <c r="AE29" i="4"/>
  <c r="AD29" i="4"/>
  <c r="AA29" i="4"/>
  <c r="Z29" i="4"/>
  <c r="U29" i="4"/>
  <c r="T29" i="4"/>
  <c r="Q29" i="4"/>
  <c r="P29" i="4"/>
  <c r="AE28" i="4"/>
  <c r="AD28" i="4"/>
  <c r="AA28" i="4"/>
  <c r="Z28" i="4"/>
  <c r="U28" i="4"/>
  <c r="T28" i="4"/>
  <c r="Q28" i="4"/>
  <c r="P28" i="4"/>
  <c r="AE27" i="4"/>
  <c r="AD27" i="4"/>
  <c r="AA27" i="4"/>
  <c r="Z27" i="4"/>
  <c r="U27" i="4"/>
  <c r="T27" i="4"/>
  <c r="Q27" i="4"/>
  <c r="P27" i="4"/>
  <c r="AE26" i="4"/>
  <c r="AD26" i="4"/>
  <c r="AA26" i="4"/>
  <c r="Z26" i="4"/>
  <c r="U26" i="4"/>
  <c r="T26" i="4"/>
  <c r="Q26" i="4"/>
  <c r="P26" i="4"/>
  <c r="P25" i="4"/>
  <c r="AE24" i="4"/>
  <c r="AD24" i="4"/>
  <c r="AA24" i="4"/>
  <c r="Z24" i="4"/>
  <c r="U24" i="4"/>
  <c r="T24" i="4"/>
  <c r="Q24" i="4"/>
  <c r="P24" i="4"/>
  <c r="AE23" i="4"/>
  <c r="AD23" i="4"/>
  <c r="AA23" i="4"/>
  <c r="Z23" i="4"/>
  <c r="U23" i="4"/>
  <c r="T23" i="4"/>
  <c r="Q23" i="4"/>
  <c r="P23" i="4"/>
  <c r="AE22" i="4"/>
  <c r="AD22" i="4"/>
  <c r="AA22" i="4"/>
  <c r="Z22" i="4"/>
  <c r="U22" i="4"/>
  <c r="T22" i="4"/>
  <c r="Q22" i="4"/>
  <c r="P22" i="4"/>
  <c r="AE21" i="4"/>
  <c r="AD21" i="4"/>
  <c r="AA21" i="4"/>
  <c r="Z21" i="4"/>
  <c r="U21" i="4"/>
  <c r="T21" i="4"/>
  <c r="Q21" i="4"/>
  <c r="P21" i="4"/>
  <c r="P20" i="4"/>
  <c r="P19" i="4"/>
  <c r="Q18" i="4"/>
  <c r="P18" i="4"/>
  <c r="Y17" i="4"/>
  <c r="Y39" i="4" s="1"/>
  <c r="X17" i="4"/>
  <c r="X39" i="4" s="1"/>
  <c r="AD39" i="4" s="1"/>
  <c r="W17" i="4"/>
  <c r="AA17" i="4" s="1"/>
  <c r="V17" i="4"/>
  <c r="Q17" i="4"/>
  <c r="O17" i="4"/>
  <c r="U17" i="4" s="1"/>
  <c r="N17" i="4"/>
  <c r="T17" i="4" s="1"/>
  <c r="M17" i="4"/>
  <c r="L17" i="4"/>
  <c r="P16" i="4"/>
  <c r="P15" i="4"/>
  <c r="P14" i="4"/>
  <c r="P12" i="4"/>
  <c r="AE11" i="4"/>
  <c r="AW11" i="4" s="1"/>
  <c r="AD11" i="4"/>
  <c r="AV11" i="4" s="1"/>
  <c r="AA11" i="4"/>
  <c r="Z11" i="4"/>
  <c r="U11" i="4"/>
  <c r="T11" i="4"/>
  <c r="P11" i="4"/>
  <c r="AE10" i="4"/>
  <c r="AW10" i="4" s="1"/>
  <c r="AD10" i="4"/>
  <c r="AA10" i="4"/>
  <c r="Z10" i="4"/>
  <c r="P10" i="4"/>
  <c r="AE9" i="4"/>
  <c r="AW9" i="4" s="1"/>
  <c r="AD9" i="4"/>
  <c r="AV9" i="4" s="1"/>
  <c r="AA9" i="4"/>
  <c r="Z9" i="4"/>
  <c r="U9" i="4"/>
  <c r="T9" i="4"/>
  <c r="P9" i="4"/>
  <c r="AE8" i="4"/>
  <c r="AW8" i="4" s="1"/>
  <c r="AD8" i="4"/>
  <c r="AV8" i="4" s="1"/>
  <c r="AA8" i="4"/>
  <c r="Z8" i="4"/>
  <c r="U8" i="4"/>
  <c r="T8" i="4"/>
  <c r="P8" i="4"/>
  <c r="AE7" i="4"/>
  <c r="AW7" i="4" s="1"/>
  <c r="AD7" i="4"/>
  <c r="AA7" i="4"/>
  <c r="Z7" i="4"/>
  <c r="U7" i="4"/>
  <c r="T7" i="4"/>
  <c r="P7" i="4"/>
  <c r="AE6" i="4"/>
  <c r="AD6" i="4"/>
  <c r="AA6" i="4"/>
  <c r="Z6" i="4"/>
  <c r="U6" i="4"/>
  <c r="T6" i="4"/>
  <c r="P6" i="4"/>
  <c r="P17" i="4" s="1"/>
  <c r="AK17" i="4" l="1"/>
  <c r="AE17" i="4"/>
  <c r="AD17" i="4"/>
  <c r="AV10" i="4"/>
  <c r="O39" i="4"/>
  <c r="U39" i="4" s="1"/>
  <c r="N39" i="4"/>
  <c r="AK39" i="4"/>
  <c r="AO39" i="4" s="1"/>
  <c r="AO17" i="4"/>
  <c r="AJ17" i="4"/>
  <c r="AN17" i="4" s="1"/>
  <c r="AN7" i="4"/>
  <c r="AV7" i="4" s="1"/>
  <c r="V39" i="4"/>
  <c r="Z39" i="4" s="1"/>
  <c r="P30" i="4"/>
  <c r="L39" i="4"/>
  <c r="Q30" i="4"/>
  <c r="M39" i="4"/>
  <c r="AQ61" i="6"/>
  <c r="AP61" i="6"/>
  <c r="AI39" i="4"/>
  <c r="AE39" i="4"/>
  <c r="AA39" i="4"/>
  <c r="T39" i="4"/>
  <c r="Z17" i="4"/>
  <c r="Q35" i="4"/>
  <c r="U35" i="4"/>
  <c r="AA35" i="4"/>
  <c r="P35" i="4"/>
  <c r="P39" i="4" s="1"/>
  <c r="T35" i="4"/>
  <c r="Z35" i="4"/>
  <c r="AV6" i="4" l="1"/>
  <c r="AT17" i="4"/>
  <c r="AU17" i="4"/>
  <c r="AW6" i="4"/>
  <c r="AJ39" i="4"/>
  <c r="AN39" i="4" s="1"/>
  <c r="Q39" i="4"/>
  <c r="AO58" i="6"/>
  <c r="AN58" i="6"/>
  <c r="AO55" i="6"/>
  <c r="AN55" i="6"/>
  <c r="AO54" i="6"/>
  <c r="AN54" i="6"/>
  <c r="AO53" i="6"/>
  <c r="AN53" i="6"/>
  <c r="AO52" i="6"/>
  <c r="AN52" i="6"/>
  <c r="AO51" i="6"/>
  <c r="AN51" i="6"/>
  <c r="AO50" i="6"/>
  <c r="AN50" i="6"/>
  <c r="AO49" i="6"/>
  <c r="AN49" i="6"/>
  <c r="AO48" i="6"/>
  <c r="AN48" i="6"/>
  <c r="AO47" i="6"/>
  <c r="AN47" i="6"/>
  <c r="AO46" i="6"/>
  <c r="AN46" i="6"/>
  <c r="AO45" i="6"/>
  <c r="AN45" i="6"/>
  <c r="AO44" i="6"/>
  <c r="AN44" i="6"/>
  <c r="AO43" i="6"/>
  <c r="AN43" i="6"/>
  <c r="AO41" i="6"/>
  <c r="AN41" i="6"/>
  <c r="AO40" i="6"/>
  <c r="AN40" i="6"/>
  <c r="AO38" i="6"/>
  <c r="AN38" i="6"/>
  <c r="AO35" i="6"/>
  <c r="AN35" i="6"/>
  <c r="AO34" i="6"/>
  <c r="AN34" i="6"/>
  <c r="AO33" i="6"/>
  <c r="AN33" i="6"/>
  <c r="AO32" i="6"/>
  <c r="AN32" i="6"/>
  <c r="AO31" i="6"/>
  <c r="AN31" i="6"/>
  <c r="AO30" i="6"/>
  <c r="AN30" i="6"/>
  <c r="AO29" i="6"/>
  <c r="AN29" i="6"/>
  <c r="AO28" i="6"/>
  <c r="AN28" i="6"/>
  <c r="AO27" i="6"/>
  <c r="AN27" i="6"/>
  <c r="AO26" i="6"/>
  <c r="AN26" i="6"/>
  <c r="AN8" i="6"/>
  <c r="AO8" i="6"/>
  <c r="AN9" i="6"/>
  <c r="AO9" i="6"/>
  <c r="AN10" i="6"/>
  <c r="AO10" i="6"/>
  <c r="AN11" i="6"/>
  <c r="AO11" i="6"/>
  <c r="AN12" i="6"/>
  <c r="AO12" i="6"/>
  <c r="AN13" i="6"/>
  <c r="AO13" i="6"/>
  <c r="AN14" i="6"/>
  <c r="AO14" i="6"/>
  <c r="AN15" i="6"/>
  <c r="AO15" i="6"/>
  <c r="AN16" i="6"/>
  <c r="AO16" i="6"/>
  <c r="AN17" i="6"/>
  <c r="AO17" i="6"/>
  <c r="AN18" i="6"/>
  <c r="AO18" i="6"/>
  <c r="AN19" i="6"/>
  <c r="AO19" i="6"/>
  <c r="AN20" i="6"/>
  <c r="AO20" i="6"/>
  <c r="AN21" i="6"/>
  <c r="AO21" i="6"/>
  <c r="AO7" i="6"/>
  <c r="AN7" i="6"/>
  <c r="AD7" i="6"/>
  <c r="AO64" i="6"/>
  <c r="AN64" i="6"/>
  <c r="AO56" i="6"/>
  <c r="AN56" i="6"/>
  <c r="AW17" i="4" l="1"/>
  <c r="AU39" i="4"/>
  <c r="AV17" i="4"/>
  <c r="AT39" i="4"/>
  <c r="AM56" i="6"/>
  <c r="AL56" i="6"/>
  <c r="AM36" i="6"/>
  <c r="AL36" i="6"/>
  <c r="AM61" i="6"/>
  <c r="AJ38" i="6"/>
  <c r="AK56" i="6"/>
  <c r="AJ26" i="6"/>
  <c r="AJ8" i="6"/>
  <c r="AK8" i="6"/>
  <c r="AJ9" i="6"/>
  <c r="AK9" i="6"/>
  <c r="AJ10" i="6"/>
  <c r="AK10" i="6"/>
  <c r="AJ11" i="6"/>
  <c r="AK11" i="6"/>
  <c r="AJ12" i="6"/>
  <c r="AK12" i="6"/>
  <c r="AJ13" i="6"/>
  <c r="AK13" i="6"/>
  <c r="AJ14" i="6"/>
  <c r="AK14" i="6"/>
  <c r="AJ15" i="6"/>
  <c r="AK15" i="6"/>
  <c r="AJ16" i="6"/>
  <c r="AK16" i="6"/>
  <c r="AJ17" i="6"/>
  <c r="AK17" i="6"/>
  <c r="AJ18" i="6"/>
  <c r="AK18" i="6"/>
  <c r="AJ19" i="6"/>
  <c r="AK19" i="6"/>
  <c r="AJ20" i="6"/>
  <c r="AK20" i="6"/>
  <c r="AJ21" i="6"/>
  <c r="AK21" i="6"/>
  <c r="AK7" i="6"/>
  <c r="AJ7" i="6"/>
  <c r="AK64" i="6"/>
  <c r="AJ64" i="6"/>
  <c r="AJ56" i="6"/>
  <c r="AK55" i="6"/>
  <c r="AJ55" i="6"/>
  <c r="AK54" i="6"/>
  <c r="AJ54" i="6"/>
  <c r="AK53" i="6"/>
  <c r="AJ53" i="6"/>
  <c r="AK52" i="6"/>
  <c r="AJ52" i="6"/>
  <c r="AK51" i="6"/>
  <c r="AJ51" i="6"/>
  <c r="AK50" i="6"/>
  <c r="AJ50" i="6"/>
  <c r="AK49" i="6"/>
  <c r="AJ49" i="6"/>
  <c r="AK48" i="6"/>
  <c r="AJ48" i="6"/>
  <c r="AK47" i="6"/>
  <c r="AJ47" i="6"/>
  <c r="AK46" i="6"/>
  <c r="AJ46" i="6"/>
  <c r="AK45" i="6"/>
  <c r="AJ45" i="6"/>
  <c r="AK44" i="6"/>
  <c r="AJ44" i="6"/>
  <c r="AK43" i="6"/>
  <c r="AJ43" i="6"/>
  <c r="AK41" i="6"/>
  <c r="AJ41" i="6"/>
  <c r="AK40" i="6"/>
  <c r="AJ40" i="6"/>
  <c r="AK38" i="6"/>
  <c r="AK35" i="6"/>
  <c r="AJ35" i="6"/>
  <c r="AK34" i="6"/>
  <c r="AJ34" i="6"/>
  <c r="AK33" i="6"/>
  <c r="AJ33" i="6"/>
  <c r="AK32" i="6"/>
  <c r="AJ32" i="6"/>
  <c r="AK31" i="6"/>
  <c r="AJ31" i="6"/>
  <c r="AK30" i="6"/>
  <c r="AJ30" i="6"/>
  <c r="AK29" i="6"/>
  <c r="AJ29" i="6"/>
  <c r="AK28" i="6"/>
  <c r="AJ28" i="6"/>
  <c r="AK27" i="6"/>
  <c r="AJ27" i="6"/>
  <c r="AK26" i="6"/>
  <c r="AI36" i="6"/>
  <c r="AO36" i="6" s="1"/>
  <c r="AH36" i="6"/>
  <c r="AN36" i="6" s="1"/>
  <c r="AH56" i="6"/>
  <c r="AI56" i="6"/>
  <c r="X56" i="6"/>
  <c r="Y56" i="6"/>
  <c r="Y55" i="6"/>
  <c r="X55" i="6"/>
  <c r="Y54" i="6"/>
  <c r="X54" i="6"/>
  <c r="Y53" i="6"/>
  <c r="X53" i="6"/>
  <c r="Y52" i="6"/>
  <c r="X52" i="6"/>
  <c r="Y51" i="6"/>
  <c r="X51" i="6"/>
  <c r="Y50" i="6"/>
  <c r="X50" i="6"/>
  <c r="Y49" i="6"/>
  <c r="X49" i="6"/>
  <c r="Y48" i="6"/>
  <c r="X48" i="6"/>
  <c r="Y47" i="6"/>
  <c r="X47" i="6"/>
  <c r="Y46" i="6"/>
  <c r="X46" i="6"/>
  <c r="Y45" i="6"/>
  <c r="X45" i="6"/>
  <c r="Y44" i="6"/>
  <c r="X44" i="6"/>
  <c r="Y43" i="6"/>
  <c r="X43" i="6"/>
  <c r="Y41" i="6"/>
  <c r="X41" i="6"/>
  <c r="Y40" i="6"/>
  <c r="X40" i="6"/>
  <c r="Y38" i="6"/>
  <c r="AK36" i="6" l="1"/>
  <c r="AK61" i="6" s="1"/>
  <c r="AJ36" i="6"/>
  <c r="AJ61" i="6" s="1"/>
  <c r="AG61" i="6"/>
  <c r="AF61" i="6"/>
  <c r="AE61" i="6"/>
  <c r="AF56" i="6"/>
  <c r="AG56" i="6"/>
  <c r="AG36" i="6"/>
  <c r="AF36" i="6"/>
  <c r="AE64" i="6"/>
  <c r="AD64" i="6"/>
  <c r="AA64" i="6"/>
  <c r="Z64" i="6"/>
  <c r="U64" i="6"/>
  <c r="T64" i="6"/>
  <c r="Q64" i="6"/>
  <c r="P64" i="6"/>
  <c r="K64" i="6"/>
  <c r="J64" i="6"/>
  <c r="G64" i="6"/>
  <c r="F64" i="6"/>
  <c r="W55" i="6"/>
  <c r="V55" i="6"/>
  <c r="W54" i="6"/>
  <c r="V54" i="6"/>
  <c r="W53" i="6"/>
  <c r="V53" i="6"/>
  <c r="W52" i="6"/>
  <c r="V52" i="6"/>
  <c r="W51" i="6"/>
  <c r="V51" i="6"/>
  <c r="W50" i="6"/>
  <c r="V50" i="6"/>
  <c r="W49" i="6"/>
  <c r="V49" i="6"/>
  <c r="W48" i="6"/>
  <c r="V48" i="6"/>
  <c r="W47" i="6"/>
  <c r="V47" i="6"/>
  <c r="W46" i="6"/>
  <c r="V46" i="6"/>
  <c r="W45" i="6"/>
  <c r="V45" i="6"/>
  <c r="W44" i="6"/>
  <c r="V44" i="6"/>
  <c r="W43" i="6"/>
  <c r="V43" i="6"/>
  <c r="W41" i="6"/>
  <c r="V41" i="6"/>
  <c r="W40" i="6"/>
  <c r="V40" i="6"/>
  <c r="W38" i="6"/>
  <c r="W56" i="6" s="1"/>
  <c r="V38" i="6"/>
  <c r="V56" i="6" s="1"/>
  <c r="W35" i="6"/>
  <c r="V35" i="6"/>
  <c r="W34" i="6"/>
  <c r="V34" i="6"/>
  <c r="W33" i="6"/>
  <c r="V33" i="6"/>
  <c r="W32" i="6"/>
  <c r="V32" i="6"/>
  <c r="W31" i="6"/>
  <c r="V31" i="6"/>
  <c r="W30" i="6"/>
  <c r="V30" i="6"/>
  <c r="W29" i="6"/>
  <c r="V29" i="6"/>
  <c r="W28" i="6"/>
  <c r="V28" i="6"/>
  <c r="W27" i="6"/>
  <c r="V27" i="6"/>
  <c r="W26" i="6"/>
  <c r="AS26" i="6" s="1"/>
  <c r="V26" i="6"/>
  <c r="AR26" i="6" s="1"/>
  <c r="V8" i="6"/>
  <c r="W8" i="6"/>
  <c r="V9" i="6"/>
  <c r="W9" i="6"/>
  <c r="V10" i="6"/>
  <c r="W10" i="6"/>
  <c r="V11" i="6"/>
  <c r="W11" i="6"/>
  <c r="AA11" i="6" s="1"/>
  <c r="V12" i="6"/>
  <c r="W12" i="6"/>
  <c r="AA12" i="6" s="1"/>
  <c r="V13" i="6"/>
  <c r="W13" i="6"/>
  <c r="AA13" i="6" s="1"/>
  <c r="V14" i="6"/>
  <c r="W14" i="6"/>
  <c r="AA14" i="6" s="1"/>
  <c r="V15" i="6"/>
  <c r="W15" i="6"/>
  <c r="AA15" i="6" s="1"/>
  <c r="V16" i="6"/>
  <c r="W16" i="6"/>
  <c r="AA16" i="6" s="1"/>
  <c r="V17" i="6"/>
  <c r="W17" i="6"/>
  <c r="AA17" i="6" s="1"/>
  <c r="V18" i="6"/>
  <c r="W18" i="6"/>
  <c r="AA18" i="6" s="1"/>
  <c r="V19" i="6"/>
  <c r="W19" i="6"/>
  <c r="AA19" i="6" s="1"/>
  <c r="V20" i="6"/>
  <c r="W20" i="6"/>
  <c r="AA20" i="6" s="1"/>
  <c r="V21" i="6"/>
  <c r="W21" i="6"/>
  <c r="AA21" i="6" s="1"/>
  <c r="W7" i="6"/>
  <c r="AA7" i="6" s="1"/>
  <c r="V7" i="6"/>
  <c r="J58" i="6"/>
  <c r="K58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1" i="6"/>
  <c r="J41" i="6"/>
  <c r="K40" i="6"/>
  <c r="J40" i="6"/>
  <c r="K38" i="6"/>
  <c r="K56" i="6" s="1"/>
  <c r="J38" i="6"/>
  <c r="J56" i="6" s="1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K36" i="6" s="1"/>
  <c r="J26" i="6"/>
  <c r="J36" i="6" s="1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K7" i="6"/>
  <c r="J7" i="6"/>
  <c r="T7" i="6"/>
  <c r="AD61" i="6"/>
  <c r="AE56" i="6"/>
  <c r="AD56" i="6"/>
  <c r="S56" i="6"/>
  <c r="R56" i="6"/>
  <c r="O56" i="6"/>
  <c r="N56" i="6"/>
  <c r="M56" i="6"/>
  <c r="L56" i="6"/>
  <c r="AE55" i="6"/>
  <c r="AD55" i="6"/>
  <c r="AA55" i="6"/>
  <c r="Z55" i="6"/>
  <c r="U55" i="6"/>
  <c r="T55" i="6"/>
  <c r="Q55" i="6"/>
  <c r="P55" i="6"/>
  <c r="AE54" i="6"/>
  <c r="AD54" i="6"/>
  <c r="AA54" i="6"/>
  <c r="Z54" i="6"/>
  <c r="U54" i="6"/>
  <c r="T54" i="6"/>
  <c r="Q54" i="6"/>
  <c r="P54" i="6"/>
  <c r="AE53" i="6"/>
  <c r="AD53" i="6"/>
  <c r="AA53" i="6"/>
  <c r="Z53" i="6"/>
  <c r="U53" i="6"/>
  <c r="T53" i="6"/>
  <c r="Q53" i="6"/>
  <c r="P53" i="6"/>
  <c r="AE52" i="6"/>
  <c r="AD52" i="6"/>
  <c r="AA52" i="6"/>
  <c r="Z52" i="6"/>
  <c r="U52" i="6"/>
  <c r="T52" i="6"/>
  <c r="Q52" i="6"/>
  <c r="P52" i="6"/>
  <c r="AE51" i="6"/>
  <c r="AD51" i="6"/>
  <c r="AA51" i="6"/>
  <c r="Z51" i="6"/>
  <c r="U51" i="6"/>
  <c r="T51" i="6"/>
  <c r="Q51" i="6"/>
  <c r="P51" i="6"/>
  <c r="AE50" i="6"/>
  <c r="AD50" i="6"/>
  <c r="AA50" i="6"/>
  <c r="Z50" i="6"/>
  <c r="U50" i="6"/>
  <c r="T50" i="6"/>
  <c r="Q50" i="6"/>
  <c r="P50" i="6"/>
  <c r="AE49" i="6"/>
  <c r="AD49" i="6"/>
  <c r="AA49" i="6"/>
  <c r="Z49" i="6"/>
  <c r="U49" i="6"/>
  <c r="T49" i="6"/>
  <c r="Q49" i="6"/>
  <c r="P49" i="6"/>
  <c r="AE48" i="6"/>
  <c r="AD48" i="6"/>
  <c r="AA48" i="6"/>
  <c r="Z48" i="6"/>
  <c r="U48" i="6"/>
  <c r="T48" i="6"/>
  <c r="Q48" i="6"/>
  <c r="P48" i="6"/>
  <c r="AE47" i="6"/>
  <c r="AD47" i="6"/>
  <c r="AA47" i="6"/>
  <c r="Z47" i="6"/>
  <c r="U47" i="6"/>
  <c r="T47" i="6"/>
  <c r="Q47" i="6"/>
  <c r="P47" i="6"/>
  <c r="AE46" i="6"/>
  <c r="AD46" i="6"/>
  <c r="AA46" i="6"/>
  <c r="Z46" i="6"/>
  <c r="U46" i="6"/>
  <c r="T46" i="6"/>
  <c r="Q46" i="6"/>
  <c r="P46" i="6"/>
  <c r="AE45" i="6"/>
  <c r="AD45" i="6"/>
  <c r="AA45" i="6"/>
  <c r="Z45" i="6"/>
  <c r="U45" i="6"/>
  <c r="T45" i="6"/>
  <c r="Q45" i="6"/>
  <c r="P45" i="6"/>
  <c r="AE44" i="6"/>
  <c r="AD44" i="6"/>
  <c r="AA44" i="6"/>
  <c r="Z44" i="6"/>
  <c r="U44" i="6"/>
  <c r="T44" i="6"/>
  <c r="Q44" i="6"/>
  <c r="P44" i="6"/>
  <c r="AE43" i="6"/>
  <c r="AD43" i="6"/>
  <c r="AA43" i="6"/>
  <c r="Z43" i="6"/>
  <c r="U43" i="6"/>
  <c r="T43" i="6"/>
  <c r="Q43" i="6"/>
  <c r="P43" i="6"/>
  <c r="Q42" i="6"/>
  <c r="P42" i="6"/>
  <c r="AE41" i="6"/>
  <c r="AD41" i="6"/>
  <c r="AA41" i="6"/>
  <c r="Z41" i="6"/>
  <c r="U41" i="6"/>
  <c r="T41" i="6"/>
  <c r="Q41" i="6"/>
  <c r="P41" i="6"/>
  <c r="AE40" i="6"/>
  <c r="AD40" i="6"/>
  <c r="AA40" i="6"/>
  <c r="Z40" i="6"/>
  <c r="U40" i="6"/>
  <c r="T40" i="6"/>
  <c r="Q40" i="6"/>
  <c r="P40" i="6"/>
  <c r="Q39" i="6"/>
  <c r="P39" i="6"/>
  <c r="AE38" i="6"/>
  <c r="AD38" i="6"/>
  <c r="AA38" i="6"/>
  <c r="Z38" i="6"/>
  <c r="U38" i="6"/>
  <c r="T38" i="6"/>
  <c r="Q38" i="6"/>
  <c r="P38" i="6"/>
  <c r="P56" i="6" s="1"/>
  <c r="Y36" i="6"/>
  <c r="AE36" i="6" s="1"/>
  <c r="X36" i="6"/>
  <c r="AD36" i="6" s="1"/>
  <c r="W36" i="6"/>
  <c r="AA36" i="6" s="1"/>
  <c r="V36" i="6"/>
  <c r="Z36" i="6" s="1"/>
  <c r="S36" i="6"/>
  <c r="R36" i="6"/>
  <c r="O36" i="6"/>
  <c r="N36" i="6"/>
  <c r="M36" i="6"/>
  <c r="L36" i="6"/>
  <c r="AE35" i="6"/>
  <c r="AD35" i="6"/>
  <c r="AA35" i="6"/>
  <c r="Z35" i="6"/>
  <c r="U35" i="6"/>
  <c r="T35" i="6"/>
  <c r="Q35" i="6"/>
  <c r="P35" i="6"/>
  <c r="AE34" i="6"/>
  <c r="AD34" i="6"/>
  <c r="AA34" i="6"/>
  <c r="Z34" i="6"/>
  <c r="U34" i="6"/>
  <c r="T34" i="6"/>
  <c r="Q34" i="6"/>
  <c r="P34" i="6"/>
  <c r="AE33" i="6"/>
  <c r="AD33" i="6"/>
  <c r="AA33" i="6"/>
  <c r="Z33" i="6"/>
  <c r="U33" i="6"/>
  <c r="T33" i="6"/>
  <c r="Q33" i="6"/>
  <c r="P33" i="6"/>
  <c r="AE32" i="6"/>
  <c r="AD32" i="6"/>
  <c r="AA32" i="6"/>
  <c r="Z32" i="6"/>
  <c r="U32" i="6"/>
  <c r="T32" i="6"/>
  <c r="Q32" i="6"/>
  <c r="P32" i="6"/>
  <c r="AE31" i="6"/>
  <c r="AD31" i="6"/>
  <c r="AA31" i="6"/>
  <c r="Z31" i="6"/>
  <c r="U31" i="6"/>
  <c r="T31" i="6"/>
  <c r="Q31" i="6"/>
  <c r="P31" i="6"/>
  <c r="AE30" i="6"/>
  <c r="AD30" i="6"/>
  <c r="AA30" i="6"/>
  <c r="Z30" i="6"/>
  <c r="U30" i="6"/>
  <c r="T30" i="6"/>
  <c r="Q30" i="6"/>
  <c r="P30" i="6"/>
  <c r="AE29" i="6"/>
  <c r="AD29" i="6"/>
  <c r="AA29" i="6"/>
  <c r="Z29" i="6"/>
  <c r="U29" i="6"/>
  <c r="T29" i="6"/>
  <c r="Q29" i="6"/>
  <c r="P29" i="6"/>
  <c r="AE28" i="6"/>
  <c r="AD28" i="6"/>
  <c r="AA28" i="6"/>
  <c r="Z28" i="6"/>
  <c r="U28" i="6"/>
  <c r="T28" i="6"/>
  <c r="Q28" i="6"/>
  <c r="P28" i="6"/>
  <c r="AE27" i="6"/>
  <c r="AD27" i="6"/>
  <c r="AA27" i="6"/>
  <c r="Z27" i="6"/>
  <c r="U27" i="6"/>
  <c r="T27" i="6"/>
  <c r="Q27" i="6"/>
  <c r="P27" i="6"/>
  <c r="AE26" i="6"/>
  <c r="AD26" i="6"/>
  <c r="AA26" i="6"/>
  <c r="Z26" i="6"/>
  <c r="U26" i="6"/>
  <c r="T26" i="6"/>
  <c r="Q26" i="6"/>
  <c r="Q36" i="6" s="1"/>
  <c r="P26" i="6"/>
  <c r="P36" i="6" s="1"/>
  <c r="S61" i="6"/>
  <c r="R61" i="6"/>
  <c r="O61" i="6"/>
  <c r="N61" i="6"/>
  <c r="M61" i="6"/>
  <c r="L61" i="6"/>
  <c r="AE21" i="6"/>
  <c r="AD21" i="6"/>
  <c r="Z21" i="6"/>
  <c r="U21" i="6"/>
  <c r="T21" i="6"/>
  <c r="Q21" i="6"/>
  <c r="P21" i="6"/>
  <c r="AE20" i="6"/>
  <c r="AD20" i="6"/>
  <c r="Z20" i="6"/>
  <c r="U20" i="6"/>
  <c r="T20" i="6"/>
  <c r="Q20" i="6"/>
  <c r="P20" i="6"/>
  <c r="AE19" i="6"/>
  <c r="AD19" i="6"/>
  <c r="Z19" i="6"/>
  <c r="U19" i="6"/>
  <c r="T19" i="6"/>
  <c r="Q19" i="6"/>
  <c r="P19" i="6"/>
  <c r="AE18" i="6"/>
  <c r="AD18" i="6"/>
  <c r="Z18" i="6"/>
  <c r="U18" i="6"/>
  <c r="T18" i="6"/>
  <c r="Q18" i="6"/>
  <c r="P18" i="6"/>
  <c r="AE17" i="6"/>
  <c r="AD17" i="6"/>
  <c r="Z17" i="6"/>
  <c r="U17" i="6"/>
  <c r="T17" i="6"/>
  <c r="Q17" i="6"/>
  <c r="P17" i="6"/>
  <c r="AE16" i="6"/>
  <c r="AD16" i="6"/>
  <c r="Z16" i="6"/>
  <c r="U16" i="6"/>
  <c r="T16" i="6"/>
  <c r="Q16" i="6"/>
  <c r="P16" i="6"/>
  <c r="AE15" i="6"/>
  <c r="AD15" i="6"/>
  <c r="Z15" i="6"/>
  <c r="U15" i="6"/>
  <c r="T15" i="6"/>
  <c r="Q15" i="6"/>
  <c r="P15" i="6"/>
  <c r="AE14" i="6"/>
  <c r="AD14" i="6"/>
  <c r="Z14" i="6"/>
  <c r="U14" i="6"/>
  <c r="T14" i="6"/>
  <c r="Q14" i="6"/>
  <c r="P14" i="6"/>
  <c r="AE13" i="6"/>
  <c r="AD13" i="6"/>
  <c r="Z13" i="6"/>
  <c r="U13" i="6"/>
  <c r="T13" i="6"/>
  <c r="Q13" i="6"/>
  <c r="P13" i="6"/>
  <c r="AE12" i="6"/>
  <c r="AD12" i="6"/>
  <c r="Z12" i="6"/>
  <c r="U12" i="6"/>
  <c r="T12" i="6"/>
  <c r="Q12" i="6"/>
  <c r="P12" i="6"/>
  <c r="AE11" i="6"/>
  <c r="AD11" i="6"/>
  <c r="Z11" i="6"/>
  <c r="U11" i="6"/>
  <c r="T11" i="6"/>
  <c r="Q11" i="6"/>
  <c r="P11" i="6"/>
  <c r="Q10" i="6"/>
  <c r="P10" i="6"/>
  <c r="AE9" i="6"/>
  <c r="AD9" i="6"/>
  <c r="AA9" i="6"/>
  <c r="Z9" i="6"/>
  <c r="U9" i="6"/>
  <c r="T9" i="6"/>
  <c r="Q9" i="6"/>
  <c r="P9" i="6"/>
  <c r="AE8" i="6"/>
  <c r="AD8" i="6"/>
  <c r="AA8" i="6"/>
  <c r="Z8" i="6"/>
  <c r="U8" i="6"/>
  <c r="T8" i="6"/>
  <c r="Q8" i="6"/>
  <c r="P8" i="6"/>
  <c r="AE7" i="6"/>
  <c r="Z7" i="6"/>
  <c r="U7" i="6"/>
  <c r="Q7" i="6"/>
  <c r="P7" i="6"/>
  <c r="AS36" i="6" l="1"/>
  <c r="AU26" i="6"/>
  <c r="AR36" i="6"/>
  <c r="AT26" i="6"/>
  <c r="AH61" i="6"/>
  <c r="AI61" i="6"/>
  <c r="Q56" i="6"/>
  <c r="W61" i="6"/>
  <c r="AA56" i="6"/>
  <c r="Z56" i="6"/>
  <c r="T36" i="6"/>
  <c r="T56" i="6"/>
  <c r="P61" i="6"/>
  <c r="U36" i="6"/>
  <c r="U56" i="6"/>
  <c r="U61" i="6"/>
  <c r="T61" i="6"/>
  <c r="AS61" i="6" l="1"/>
  <c r="AU36" i="6"/>
  <c r="AU61" i="6" s="1"/>
  <c r="AR61" i="6"/>
  <c r="AT36" i="6"/>
  <c r="AT61" i="6" s="1"/>
  <c r="AN61" i="6"/>
  <c r="AO61" i="6"/>
  <c r="Q61" i="6"/>
  <c r="V61" i="6"/>
  <c r="Z61" i="6" s="1"/>
  <c r="AA61" i="6"/>
  <c r="J57" i="7"/>
  <c r="I57" i="7"/>
  <c r="K34" i="4" l="1"/>
  <c r="J34" i="4"/>
  <c r="K33" i="4"/>
  <c r="J33" i="4"/>
  <c r="K29" i="4"/>
  <c r="J29" i="4"/>
  <c r="K28" i="4"/>
  <c r="J28" i="4"/>
  <c r="K27" i="4"/>
  <c r="J27" i="4"/>
  <c r="K26" i="4"/>
  <c r="J26" i="4"/>
  <c r="K24" i="4"/>
  <c r="J24" i="4"/>
  <c r="K23" i="4"/>
  <c r="J23" i="4"/>
  <c r="K22" i="4"/>
  <c r="J22" i="4"/>
  <c r="K21" i="4"/>
  <c r="J21" i="4"/>
  <c r="K11" i="4"/>
  <c r="J11" i="4"/>
  <c r="K9" i="4"/>
  <c r="J9" i="4"/>
  <c r="K8" i="4"/>
  <c r="J8" i="4"/>
  <c r="K7" i="4"/>
  <c r="J7" i="4"/>
  <c r="K6" i="4"/>
  <c r="J6" i="4"/>
  <c r="Q55" i="5" l="1"/>
  <c r="P55" i="5"/>
  <c r="O69" i="5"/>
  <c r="O71" i="5" s="1"/>
  <c r="N69" i="5"/>
  <c r="N71" i="5" s="1"/>
  <c r="L4" i="7"/>
  <c r="L52" i="7"/>
  <c r="K52" i="7"/>
  <c r="L51" i="7"/>
  <c r="K51" i="7"/>
  <c r="L50" i="7"/>
  <c r="K50" i="7"/>
  <c r="L49" i="7"/>
  <c r="K49" i="7"/>
  <c r="L48" i="7"/>
  <c r="K48" i="7"/>
  <c r="L46" i="7"/>
  <c r="K46" i="7"/>
  <c r="L45" i="7"/>
  <c r="K45" i="7"/>
  <c r="L42" i="7"/>
  <c r="K42" i="7"/>
  <c r="L41" i="7"/>
  <c r="K41" i="7"/>
  <c r="L40" i="7"/>
  <c r="K40" i="7"/>
  <c r="L39" i="7"/>
  <c r="K39" i="7"/>
  <c r="L37" i="7"/>
  <c r="K37" i="7"/>
  <c r="L36" i="7"/>
  <c r="K36" i="7"/>
  <c r="L35" i="7"/>
  <c r="K35" i="7"/>
  <c r="L34" i="7"/>
  <c r="K34" i="7"/>
  <c r="L33" i="7"/>
  <c r="K33" i="7"/>
  <c r="L32" i="7"/>
  <c r="K32" i="7"/>
  <c r="L29" i="7"/>
  <c r="K29" i="7"/>
  <c r="L28" i="7"/>
  <c r="L31" i="7" s="1"/>
  <c r="K28" i="7"/>
  <c r="L27" i="7"/>
  <c r="K27" i="7"/>
  <c r="L26" i="7"/>
  <c r="K26" i="7"/>
  <c r="L24" i="7"/>
  <c r="K24" i="7"/>
  <c r="L23" i="7"/>
  <c r="K23" i="7"/>
  <c r="L22" i="7"/>
  <c r="K22" i="7"/>
  <c r="L21" i="7"/>
  <c r="K21" i="7"/>
  <c r="L19" i="7"/>
  <c r="K19" i="7"/>
  <c r="L18" i="7"/>
  <c r="K18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 l="1"/>
  <c r="K8" i="7"/>
  <c r="K6" i="7"/>
  <c r="L6" i="7"/>
  <c r="K4" i="7" l="1"/>
  <c r="J44" i="7"/>
  <c r="I44" i="7"/>
  <c r="J20" i="7"/>
  <c r="I20" i="7"/>
  <c r="I53" i="7" l="1"/>
  <c r="J53" i="7"/>
  <c r="I36" i="6" l="1"/>
  <c r="H36" i="6"/>
  <c r="I39" i="4" l="1"/>
  <c r="H39" i="4"/>
  <c r="D43" i="7" l="1"/>
  <c r="L43" i="7" s="1"/>
  <c r="K43" i="7"/>
  <c r="D38" i="7"/>
  <c r="L38" i="7" s="1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2" i="7"/>
  <c r="G42" i="7"/>
  <c r="H41" i="7"/>
  <c r="G41" i="7"/>
  <c r="H40" i="7"/>
  <c r="G40" i="7"/>
  <c r="H39" i="7"/>
  <c r="G39" i="7"/>
  <c r="D44" i="7"/>
  <c r="H37" i="7"/>
  <c r="G37" i="7"/>
  <c r="H36" i="7"/>
  <c r="G36" i="7"/>
  <c r="H35" i="7"/>
  <c r="G35" i="7"/>
  <c r="H34" i="7"/>
  <c r="G34" i="7"/>
  <c r="H33" i="7"/>
  <c r="G33" i="7"/>
  <c r="H32" i="7"/>
  <c r="G32" i="7"/>
  <c r="H29" i="7"/>
  <c r="G29" i="7"/>
  <c r="H28" i="7"/>
  <c r="H31" i="7" s="1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F20" i="7"/>
  <c r="F53" i="7" s="1"/>
  <c r="E20" i="7"/>
  <c r="E53" i="7" s="1"/>
  <c r="D20" i="7"/>
  <c r="L20" i="7" s="1"/>
  <c r="K20" i="7"/>
  <c r="H19" i="7"/>
  <c r="G19" i="7"/>
  <c r="H18" i="7"/>
  <c r="G18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6" i="7"/>
  <c r="G6" i="7"/>
  <c r="H4" i="7"/>
  <c r="G4" i="7"/>
  <c r="H44" i="7" l="1"/>
  <c r="L44" i="7"/>
  <c r="K38" i="7"/>
  <c r="D53" i="7"/>
  <c r="G20" i="7"/>
  <c r="G38" i="7"/>
  <c r="G43" i="7"/>
  <c r="H20" i="7"/>
  <c r="H38" i="7"/>
  <c r="H43" i="7"/>
  <c r="G44" i="7" l="1"/>
  <c r="K44" i="7"/>
  <c r="H53" i="7"/>
  <c r="L53" i="7"/>
  <c r="K53" i="7" l="1"/>
  <c r="G53" i="7"/>
  <c r="G54" i="6"/>
  <c r="F54" i="6"/>
  <c r="G58" i="6"/>
  <c r="F58" i="6"/>
  <c r="I56" i="6"/>
  <c r="H56" i="6"/>
  <c r="H61" i="6" s="1"/>
  <c r="E56" i="6"/>
  <c r="D56" i="6"/>
  <c r="C56" i="6"/>
  <c r="B56" i="6"/>
  <c r="G55" i="6"/>
  <c r="F55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E36" i="6"/>
  <c r="D36" i="6"/>
  <c r="C36" i="6"/>
  <c r="B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D61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J61" i="6" l="1"/>
  <c r="B61" i="6"/>
  <c r="C61" i="6"/>
  <c r="E61" i="6"/>
  <c r="I61" i="6"/>
  <c r="F56" i="6"/>
  <c r="G56" i="6"/>
  <c r="F36" i="6"/>
  <c r="G36" i="6"/>
  <c r="K69" i="5"/>
  <c r="J69" i="5"/>
  <c r="G69" i="5"/>
  <c r="F69" i="5"/>
  <c r="E69" i="5"/>
  <c r="D69" i="5"/>
  <c r="C69" i="5"/>
  <c r="B69" i="5"/>
  <c r="I68" i="5"/>
  <c r="AI68" i="5" s="1"/>
  <c r="BG68" i="5" s="1"/>
  <c r="BL68" i="5" s="1"/>
  <c r="H68" i="5"/>
  <c r="AH68" i="5" s="1"/>
  <c r="BF68" i="5" s="1"/>
  <c r="I67" i="5"/>
  <c r="AI67" i="5" s="1"/>
  <c r="BG67" i="5" s="1"/>
  <c r="BL67" i="5" s="1"/>
  <c r="H67" i="5"/>
  <c r="AH67" i="5" s="1"/>
  <c r="BF67" i="5" s="1"/>
  <c r="I66" i="5"/>
  <c r="AI66" i="5" s="1"/>
  <c r="BG66" i="5" s="1"/>
  <c r="BL66" i="5" s="1"/>
  <c r="H66" i="5"/>
  <c r="AH66" i="5" s="1"/>
  <c r="BF66" i="5" s="1"/>
  <c r="I64" i="5"/>
  <c r="AI64" i="5" s="1"/>
  <c r="BG64" i="5" s="1"/>
  <c r="BL64" i="5" s="1"/>
  <c r="H64" i="5"/>
  <c r="AH64" i="5" s="1"/>
  <c r="BF64" i="5" s="1"/>
  <c r="I63" i="5"/>
  <c r="AI63" i="5" s="1"/>
  <c r="BG63" i="5" s="1"/>
  <c r="BL63" i="5" s="1"/>
  <c r="H63" i="5"/>
  <c r="AH63" i="5" s="1"/>
  <c r="BF63" i="5" s="1"/>
  <c r="I62" i="5"/>
  <c r="AI62" i="5" s="1"/>
  <c r="BG62" i="5" s="1"/>
  <c r="BL62" i="5" s="1"/>
  <c r="H62" i="5"/>
  <c r="AH62" i="5" s="1"/>
  <c r="BF62" i="5" s="1"/>
  <c r="I61" i="5"/>
  <c r="AI61" i="5" s="1"/>
  <c r="BG61" i="5" s="1"/>
  <c r="BL61" i="5" s="1"/>
  <c r="H61" i="5"/>
  <c r="AH61" i="5" s="1"/>
  <c r="BF61" i="5" s="1"/>
  <c r="I60" i="5"/>
  <c r="AI60" i="5" s="1"/>
  <c r="BG60" i="5" s="1"/>
  <c r="BL60" i="5" s="1"/>
  <c r="H60" i="5"/>
  <c r="AH60" i="5" s="1"/>
  <c r="BF60" i="5" s="1"/>
  <c r="I59" i="5"/>
  <c r="AI59" i="5" s="1"/>
  <c r="BG59" i="5" s="1"/>
  <c r="BL59" i="5" s="1"/>
  <c r="H59" i="5"/>
  <c r="AH59" i="5" s="1"/>
  <c r="BF59" i="5" s="1"/>
  <c r="I58" i="5"/>
  <c r="AI58" i="5" s="1"/>
  <c r="BG58" i="5" s="1"/>
  <c r="BL58" i="5" s="1"/>
  <c r="H58" i="5"/>
  <c r="AH58" i="5" s="1"/>
  <c r="BF58" i="5" s="1"/>
  <c r="I57" i="5"/>
  <c r="H57" i="5"/>
  <c r="I55" i="5"/>
  <c r="H55" i="5"/>
  <c r="I52" i="5"/>
  <c r="AI52" i="5" s="1"/>
  <c r="H52" i="5"/>
  <c r="AH52" i="5" s="1"/>
  <c r="I51" i="5"/>
  <c r="AI51" i="5" s="1"/>
  <c r="H51" i="5"/>
  <c r="AH51" i="5" s="1"/>
  <c r="M50" i="5"/>
  <c r="L50" i="5"/>
  <c r="M49" i="5"/>
  <c r="L49" i="5"/>
  <c r="M48" i="5"/>
  <c r="L48" i="5"/>
  <c r="M47" i="5"/>
  <c r="L47" i="5"/>
  <c r="M46" i="5"/>
  <c r="L46" i="5"/>
  <c r="M45" i="5"/>
  <c r="L45" i="5"/>
  <c r="K44" i="5"/>
  <c r="J44" i="5"/>
  <c r="I44" i="5"/>
  <c r="Q44" i="5" s="1"/>
  <c r="H44" i="5"/>
  <c r="P44" i="5" s="1"/>
  <c r="G44" i="5"/>
  <c r="F44" i="5"/>
  <c r="E44" i="5"/>
  <c r="D44" i="5"/>
  <c r="C44" i="5"/>
  <c r="B44" i="5"/>
  <c r="I42" i="5"/>
  <c r="AI42" i="5" s="1"/>
  <c r="BG42" i="5" s="1"/>
  <c r="BL42" i="5" s="1"/>
  <c r="H42" i="5"/>
  <c r="AH42" i="5" s="1"/>
  <c r="BF42" i="5" s="1"/>
  <c r="I41" i="5"/>
  <c r="AI41" i="5" s="1"/>
  <c r="BG41" i="5" s="1"/>
  <c r="BL41" i="5" s="1"/>
  <c r="H41" i="5"/>
  <c r="AH41" i="5" s="1"/>
  <c r="BF41" i="5" s="1"/>
  <c r="I40" i="5"/>
  <c r="AI40" i="5" s="1"/>
  <c r="BG40" i="5" s="1"/>
  <c r="BL40" i="5" s="1"/>
  <c r="H40" i="5"/>
  <c r="AH40" i="5" s="1"/>
  <c r="BF40" i="5" s="1"/>
  <c r="M39" i="5"/>
  <c r="L39" i="5"/>
  <c r="M38" i="5"/>
  <c r="L38" i="5"/>
  <c r="M37" i="5"/>
  <c r="L37" i="5"/>
  <c r="M36" i="5"/>
  <c r="L36" i="5"/>
  <c r="I35" i="5"/>
  <c r="AI35" i="5" s="1"/>
  <c r="BG35" i="5" s="1"/>
  <c r="BL35" i="5" s="1"/>
  <c r="H35" i="5"/>
  <c r="AH35" i="5" s="1"/>
  <c r="BF35" i="5" s="1"/>
  <c r="I34" i="5"/>
  <c r="AI34" i="5" s="1"/>
  <c r="BG34" i="5" s="1"/>
  <c r="BL34" i="5" s="1"/>
  <c r="H34" i="5"/>
  <c r="AH34" i="5" s="1"/>
  <c r="BF34" i="5" s="1"/>
  <c r="I33" i="5"/>
  <c r="AI33" i="5" s="1"/>
  <c r="BG33" i="5" s="1"/>
  <c r="H33" i="5"/>
  <c r="AH33" i="5" s="1"/>
  <c r="BF33" i="5" s="1"/>
  <c r="BM33" i="5" s="1"/>
  <c r="K32" i="5"/>
  <c r="J32" i="5"/>
  <c r="G32" i="5"/>
  <c r="G53" i="5" s="1"/>
  <c r="F32" i="5"/>
  <c r="F53" i="5" s="1"/>
  <c r="E32" i="5"/>
  <c r="E53" i="5" s="1"/>
  <c r="D32" i="5"/>
  <c r="D53" i="5" s="1"/>
  <c r="C32" i="5"/>
  <c r="C53" i="5" s="1"/>
  <c r="B32" i="5"/>
  <c r="B53" i="5" s="1"/>
  <c r="I31" i="5"/>
  <c r="AI31" i="5" s="1"/>
  <c r="BG31" i="5" s="1"/>
  <c r="BL31" i="5" s="1"/>
  <c r="H31" i="5"/>
  <c r="AH31" i="5" s="1"/>
  <c r="BF31" i="5" s="1"/>
  <c r="I30" i="5"/>
  <c r="AI30" i="5" s="1"/>
  <c r="BG30" i="5" s="1"/>
  <c r="BL30" i="5" s="1"/>
  <c r="H30" i="5"/>
  <c r="AH30" i="5" s="1"/>
  <c r="BF30" i="5" s="1"/>
  <c r="I29" i="5"/>
  <c r="AI29" i="5" s="1"/>
  <c r="BG29" i="5" s="1"/>
  <c r="BL29" i="5" s="1"/>
  <c r="H29" i="5"/>
  <c r="AH29" i="5" s="1"/>
  <c r="BF29" i="5" s="1"/>
  <c r="I28" i="5"/>
  <c r="AI28" i="5" s="1"/>
  <c r="BG28" i="5" s="1"/>
  <c r="BL28" i="5" s="1"/>
  <c r="H28" i="5"/>
  <c r="AH28" i="5" s="1"/>
  <c r="BF28" i="5" s="1"/>
  <c r="K24" i="5"/>
  <c r="J24" i="5"/>
  <c r="G24" i="5"/>
  <c r="G71" i="5" s="1"/>
  <c r="F24" i="5"/>
  <c r="F71" i="5" s="1"/>
  <c r="E24" i="5"/>
  <c r="E71" i="5" s="1"/>
  <c r="D24" i="5"/>
  <c r="D71" i="5" s="1"/>
  <c r="C24" i="5"/>
  <c r="C71" i="5" s="1"/>
  <c r="B24" i="5"/>
  <c r="B71" i="5" s="1"/>
  <c r="I22" i="5"/>
  <c r="AI22" i="5" s="1"/>
  <c r="BG22" i="5" s="1"/>
  <c r="BL22" i="5" s="1"/>
  <c r="H22" i="5"/>
  <c r="AH22" i="5" s="1"/>
  <c r="BF22" i="5" s="1"/>
  <c r="I21" i="5"/>
  <c r="AI21" i="5" s="1"/>
  <c r="BG21" i="5" s="1"/>
  <c r="BL21" i="5" s="1"/>
  <c r="H21" i="5"/>
  <c r="AH21" i="5" s="1"/>
  <c r="BF21" i="5" s="1"/>
  <c r="I20" i="5"/>
  <c r="AI20" i="5" s="1"/>
  <c r="BG20" i="5" s="1"/>
  <c r="BL20" i="5" s="1"/>
  <c r="H20" i="5"/>
  <c r="AH20" i="5" s="1"/>
  <c r="BF20" i="5" s="1"/>
  <c r="I19" i="5"/>
  <c r="AI19" i="5" s="1"/>
  <c r="BG19" i="5" s="1"/>
  <c r="BL19" i="5" s="1"/>
  <c r="H19" i="5"/>
  <c r="AH19" i="5" s="1"/>
  <c r="BF19" i="5" s="1"/>
  <c r="I18" i="5"/>
  <c r="AI18" i="5" s="1"/>
  <c r="BG18" i="5" s="1"/>
  <c r="BL18" i="5" s="1"/>
  <c r="H18" i="5"/>
  <c r="AH18" i="5" s="1"/>
  <c r="BF18" i="5" s="1"/>
  <c r="I17" i="5"/>
  <c r="AI17" i="5" s="1"/>
  <c r="BG17" i="5" s="1"/>
  <c r="BL17" i="5" s="1"/>
  <c r="H17" i="5"/>
  <c r="AH17" i="5" s="1"/>
  <c r="BF17" i="5" s="1"/>
  <c r="I16" i="5"/>
  <c r="AI16" i="5" s="1"/>
  <c r="BG16" i="5" s="1"/>
  <c r="BL16" i="5" s="1"/>
  <c r="H16" i="5"/>
  <c r="AH16" i="5" s="1"/>
  <c r="BF16" i="5" s="1"/>
  <c r="I15" i="5"/>
  <c r="AI15" i="5" s="1"/>
  <c r="BG15" i="5" s="1"/>
  <c r="BL15" i="5" s="1"/>
  <c r="H15" i="5"/>
  <c r="AH15" i="5" s="1"/>
  <c r="BF15" i="5" s="1"/>
  <c r="I14" i="5"/>
  <c r="AI14" i="5" s="1"/>
  <c r="BG14" i="5" s="1"/>
  <c r="BL14" i="5" s="1"/>
  <c r="H14" i="5"/>
  <c r="AH14" i="5" s="1"/>
  <c r="BF14" i="5" s="1"/>
  <c r="I13" i="5"/>
  <c r="AI13" i="5" s="1"/>
  <c r="BG13" i="5" s="1"/>
  <c r="BL13" i="5" s="1"/>
  <c r="H13" i="5"/>
  <c r="AH13" i="5" s="1"/>
  <c r="BF13" i="5" s="1"/>
  <c r="I12" i="5"/>
  <c r="AI12" i="5" s="1"/>
  <c r="BG12" i="5" s="1"/>
  <c r="BL12" i="5" s="1"/>
  <c r="H12" i="5"/>
  <c r="AH12" i="5" s="1"/>
  <c r="BF12" i="5" s="1"/>
  <c r="I11" i="5"/>
  <c r="AI11" i="5" s="1"/>
  <c r="BG11" i="5" s="1"/>
  <c r="BL11" i="5" s="1"/>
  <c r="H11" i="5"/>
  <c r="AH11" i="5" s="1"/>
  <c r="BF11" i="5" s="1"/>
  <c r="I10" i="5"/>
  <c r="AI10" i="5" s="1"/>
  <c r="BG10" i="5" s="1"/>
  <c r="BL10" i="5" s="1"/>
  <c r="H10" i="5"/>
  <c r="AH10" i="5" s="1"/>
  <c r="BF10" i="5" s="1"/>
  <c r="I9" i="5"/>
  <c r="AI9" i="5" s="1"/>
  <c r="BG9" i="5" s="1"/>
  <c r="BL9" i="5" s="1"/>
  <c r="H9" i="5"/>
  <c r="AH9" i="5" s="1"/>
  <c r="BF9" i="5" s="1"/>
  <c r="I8" i="5"/>
  <c r="AI8" i="5" s="1"/>
  <c r="BG8" i="5" s="1"/>
  <c r="BL8" i="5" s="1"/>
  <c r="H8" i="5"/>
  <c r="AH8" i="5" s="1"/>
  <c r="BF8" i="5" s="1"/>
  <c r="I7" i="5"/>
  <c r="AI7" i="5" s="1"/>
  <c r="BG7" i="5" s="1"/>
  <c r="BL7" i="5" s="1"/>
  <c r="H7" i="5"/>
  <c r="AH7" i="5" s="1"/>
  <c r="I6" i="5"/>
  <c r="AI6" i="5" s="1"/>
  <c r="BG6" i="5" s="1"/>
  <c r="H6" i="5"/>
  <c r="BK10" i="5" l="1"/>
  <c r="BM10" i="5"/>
  <c r="BK11" i="5"/>
  <c r="BM11" i="5"/>
  <c r="BK12" i="5"/>
  <c r="BM12" i="5"/>
  <c r="BK13" i="5"/>
  <c r="BM13" i="5"/>
  <c r="BK14" i="5"/>
  <c r="BM14" i="5"/>
  <c r="BK15" i="5"/>
  <c r="BM15" i="5"/>
  <c r="BK16" i="5"/>
  <c r="BM16" i="5"/>
  <c r="BK17" i="5"/>
  <c r="BM17" i="5"/>
  <c r="BK19" i="5"/>
  <c r="BM19" i="5"/>
  <c r="BK20" i="5"/>
  <c r="BM20" i="5"/>
  <c r="BK21" i="5"/>
  <c r="BM21" i="5"/>
  <c r="BK22" i="5"/>
  <c r="BM22" i="5"/>
  <c r="BK28" i="5"/>
  <c r="BM28" i="5"/>
  <c r="BK30" i="5"/>
  <c r="BM30" i="5"/>
  <c r="BK31" i="5"/>
  <c r="BM31" i="5"/>
  <c r="BK58" i="5"/>
  <c r="BM58" i="5"/>
  <c r="BK60" i="5"/>
  <c r="BM60" i="5"/>
  <c r="BK61" i="5"/>
  <c r="BM61" i="5"/>
  <c r="BK62" i="5"/>
  <c r="BM62" i="5"/>
  <c r="BK63" i="5"/>
  <c r="BM63" i="5"/>
  <c r="BK64" i="5"/>
  <c r="BM64" i="5"/>
  <c r="BK66" i="5"/>
  <c r="BM66" i="5"/>
  <c r="BK67" i="5"/>
  <c r="BM67" i="5"/>
  <c r="BK68" i="5"/>
  <c r="BM68" i="5"/>
  <c r="BK29" i="5"/>
  <c r="BM29" i="5"/>
  <c r="BK59" i="5"/>
  <c r="BM59" i="5"/>
  <c r="BK42" i="5"/>
  <c r="BM42" i="5"/>
  <c r="BK40" i="5"/>
  <c r="BM40" i="5"/>
  <c r="BK41" i="5"/>
  <c r="BM41" i="5"/>
  <c r="BK35" i="5"/>
  <c r="BM35" i="5"/>
  <c r="BK34" i="5"/>
  <c r="BM34" i="5"/>
  <c r="BM32" i="5" s="1"/>
  <c r="BK18" i="5"/>
  <c r="BM18" i="5"/>
  <c r="BK8" i="5"/>
  <c r="BM8" i="5"/>
  <c r="BK9" i="5"/>
  <c r="BM9" i="5"/>
  <c r="BF7" i="5"/>
  <c r="BG24" i="5"/>
  <c r="BL6" i="5"/>
  <c r="BL24" i="5" s="1"/>
  <c r="BG32" i="5"/>
  <c r="BL33" i="5"/>
  <c r="BL32" i="5" s="1"/>
  <c r="AI44" i="5"/>
  <c r="BG51" i="5"/>
  <c r="AQ51" i="5"/>
  <c r="AO51" i="5"/>
  <c r="BG52" i="5"/>
  <c r="BL52" i="5" s="1"/>
  <c r="AQ52" i="5"/>
  <c r="AO52" i="5"/>
  <c r="M55" i="5"/>
  <c r="AI55" i="5"/>
  <c r="BF32" i="5"/>
  <c r="BK33" i="5"/>
  <c r="BF51" i="5"/>
  <c r="BM51" i="5" s="1"/>
  <c r="AH44" i="5"/>
  <c r="AN51" i="5"/>
  <c r="AP51" i="5"/>
  <c r="BF52" i="5"/>
  <c r="AP52" i="5"/>
  <c r="AN52" i="5"/>
  <c r="L55" i="5"/>
  <c r="AH55" i="5"/>
  <c r="AQ7" i="5"/>
  <c r="AO7" i="5"/>
  <c r="AO9" i="5"/>
  <c r="AQ9" i="5"/>
  <c r="AQ11" i="5"/>
  <c r="AO11" i="5"/>
  <c r="AQ12" i="5"/>
  <c r="AO12" i="5"/>
  <c r="AO13" i="5"/>
  <c r="AQ13" i="5"/>
  <c r="AQ14" i="5"/>
  <c r="AO14" i="5"/>
  <c r="AQ15" i="5"/>
  <c r="AO15" i="5"/>
  <c r="AO16" i="5"/>
  <c r="AQ16" i="5"/>
  <c r="AQ17" i="5"/>
  <c r="AO17" i="5"/>
  <c r="AO18" i="5"/>
  <c r="AQ18" i="5"/>
  <c r="AQ19" i="5"/>
  <c r="AO19" i="5"/>
  <c r="AQ20" i="5"/>
  <c r="AO20" i="5"/>
  <c r="AO21" i="5"/>
  <c r="AQ21" i="5"/>
  <c r="AQ22" i="5"/>
  <c r="AO22" i="5"/>
  <c r="AQ28" i="5"/>
  <c r="AO28" i="5"/>
  <c r="AQ29" i="5"/>
  <c r="AO29" i="5"/>
  <c r="AQ30" i="5"/>
  <c r="AO30" i="5"/>
  <c r="AO31" i="5"/>
  <c r="AQ31" i="5"/>
  <c r="AI32" i="5"/>
  <c r="AQ33" i="5"/>
  <c r="AO33" i="5"/>
  <c r="AQ34" i="5"/>
  <c r="AO34" i="5"/>
  <c r="AQ35" i="5"/>
  <c r="AO35" i="5"/>
  <c r="AQ40" i="5"/>
  <c r="AO40" i="5"/>
  <c r="AQ41" i="5"/>
  <c r="AO41" i="5"/>
  <c r="AQ42" i="5"/>
  <c r="AO42" i="5"/>
  <c r="Q57" i="5"/>
  <c r="AI57" i="5"/>
  <c r="BG57" i="5" s="1"/>
  <c r="AQ58" i="5"/>
  <c r="AO58" i="5"/>
  <c r="AO59" i="5"/>
  <c r="AQ59" i="5"/>
  <c r="AQ60" i="5"/>
  <c r="AO60" i="5"/>
  <c r="AQ61" i="5"/>
  <c r="AO61" i="5"/>
  <c r="AQ62" i="5"/>
  <c r="AO62" i="5"/>
  <c r="AQ63" i="5"/>
  <c r="AO63" i="5"/>
  <c r="AO64" i="5"/>
  <c r="AQ64" i="5"/>
  <c r="AQ66" i="5"/>
  <c r="AO66" i="5"/>
  <c r="AO67" i="5"/>
  <c r="AQ67" i="5"/>
  <c r="AQ68" i="5"/>
  <c r="AO68" i="5"/>
  <c r="AI24" i="5"/>
  <c r="AQ6" i="5"/>
  <c r="AO6" i="5"/>
  <c r="AQ8" i="5"/>
  <c r="AO8" i="5"/>
  <c r="AQ10" i="5"/>
  <c r="AO10" i="5"/>
  <c r="P6" i="5"/>
  <c r="AH6" i="5"/>
  <c r="AN7" i="5"/>
  <c r="AP7" i="5"/>
  <c r="AP8" i="5"/>
  <c r="AN8" i="5"/>
  <c r="AN9" i="5"/>
  <c r="AP9" i="5"/>
  <c r="AP10" i="5"/>
  <c r="AN10" i="5"/>
  <c r="AN11" i="5"/>
  <c r="AP11" i="5"/>
  <c r="AP12" i="5"/>
  <c r="AN12" i="5"/>
  <c r="AN13" i="5"/>
  <c r="AP13" i="5"/>
  <c r="AP14" i="5"/>
  <c r="AN14" i="5"/>
  <c r="AN15" i="5"/>
  <c r="AP15" i="5"/>
  <c r="AN16" i="5"/>
  <c r="AP16" i="5"/>
  <c r="AP17" i="5"/>
  <c r="AN17" i="5"/>
  <c r="AN18" i="5"/>
  <c r="AP18" i="5"/>
  <c r="AP19" i="5"/>
  <c r="AN19" i="5"/>
  <c r="AN20" i="5"/>
  <c r="AP20" i="5"/>
  <c r="AN21" i="5"/>
  <c r="AP21" i="5"/>
  <c r="AP22" i="5"/>
  <c r="AN22" i="5"/>
  <c r="AP28" i="5"/>
  <c r="AN28" i="5"/>
  <c r="AP29" i="5"/>
  <c r="AN29" i="5"/>
  <c r="AP30" i="5"/>
  <c r="AN30" i="5"/>
  <c r="AN31" i="5"/>
  <c r="AP31" i="5"/>
  <c r="AH32" i="5"/>
  <c r="AN33" i="5"/>
  <c r="AP33" i="5"/>
  <c r="AP34" i="5"/>
  <c r="AN34" i="5"/>
  <c r="AN35" i="5"/>
  <c r="AP35" i="5"/>
  <c r="AP40" i="5"/>
  <c r="AN40" i="5"/>
  <c r="AN41" i="5"/>
  <c r="AP41" i="5"/>
  <c r="AP42" i="5"/>
  <c r="AN42" i="5"/>
  <c r="P57" i="5"/>
  <c r="AH57" i="5"/>
  <c r="BF57" i="5" s="1"/>
  <c r="BM57" i="5" s="1"/>
  <c r="AP58" i="5"/>
  <c r="AN58" i="5"/>
  <c r="AP59" i="5"/>
  <c r="AN59" i="5"/>
  <c r="AP60" i="5"/>
  <c r="AN60" i="5"/>
  <c r="AP61" i="5"/>
  <c r="AN61" i="5"/>
  <c r="AN62" i="5"/>
  <c r="AP62" i="5"/>
  <c r="AP63" i="5"/>
  <c r="AN63" i="5"/>
  <c r="AP64" i="5"/>
  <c r="AN64" i="5"/>
  <c r="AP66" i="5"/>
  <c r="AN66" i="5"/>
  <c r="AP67" i="5"/>
  <c r="AN67" i="5"/>
  <c r="AP68" i="5"/>
  <c r="AN68" i="5"/>
  <c r="L8" i="5"/>
  <c r="P8" i="5"/>
  <c r="L9" i="5"/>
  <c r="P9" i="5"/>
  <c r="L11" i="5"/>
  <c r="P11" i="5"/>
  <c r="L14" i="5"/>
  <c r="P14" i="5"/>
  <c r="L16" i="5"/>
  <c r="P16" i="5"/>
  <c r="L19" i="5"/>
  <c r="P19" i="5"/>
  <c r="L21" i="5"/>
  <c r="P21" i="5"/>
  <c r="I24" i="5"/>
  <c r="Q6" i="5"/>
  <c r="M7" i="5"/>
  <c r="Q7" i="5"/>
  <c r="M8" i="5"/>
  <c r="Q8" i="5"/>
  <c r="M9" i="5"/>
  <c r="Q9" i="5"/>
  <c r="M10" i="5"/>
  <c r="Q10" i="5"/>
  <c r="M11" i="5"/>
  <c r="Q11" i="5"/>
  <c r="M12" i="5"/>
  <c r="Q12" i="5"/>
  <c r="M13" i="5"/>
  <c r="Q13" i="5"/>
  <c r="M14" i="5"/>
  <c r="Q14" i="5"/>
  <c r="M15" i="5"/>
  <c r="Q15" i="5"/>
  <c r="M16" i="5"/>
  <c r="Q16" i="5"/>
  <c r="M17" i="5"/>
  <c r="Q17" i="5"/>
  <c r="M18" i="5"/>
  <c r="Q18" i="5"/>
  <c r="M19" i="5"/>
  <c r="Q19" i="5"/>
  <c r="M20" i="5"/>
  <c r="Q20" i="5"/>
  <c r="M21" i="5"/>
  <c r="Q21" i="5"/>
  <c r="M22" i="5"/>
  <c r="Q22" i="5"/>
  <c r="M24" i="5"/>
  <c r="Q28" i="5"/>
  <c r="Q29" i="5"/>
  <c r="M29" i="5"/>
  <c r="M30" i="5"/>
  <c r="Q30" i="5"/>
  <c r="Q31" i="5"/>
  <c r="M31" i="5"/>
  <c r="K53" i="5"/>
  <c r="K71" i="5" s="1"/>
  <c r="Q33" i="5"/>
  <c r="M33" i="5"/>
  <c r="Q34" i="5"/>
  <c r="M34" i="5"/>
  <c r="Q35" i="5"/>
  <c r="M35" i="5"/>
  <c r="M40" i="5"/>
  <c r="Q40" i="5"/>
  <c r="Q41" i="5"/>
  <c r="M41" i="5"/>
  <c r="M42" i="5"/>
  <c r="Q42" i="5"/>
  <c r="M51" i="5"/>
  <c r="Q51" i="5"/>
  <c r="M52" i="5"/>
  <c r="Q52" i="5"/>
  <c r="M58" i="5"/>
  <c r="Q58" i="5"/>
  <c r="M59" i="5"/>
  <c r="Q59" i="5"/>
  <c r="M60" i="5"/>
  <c r="Q60" i="5"/>
  <c r="M61" i="5"/>
  <c r="Q61" i="5"/>
  <c r="M62" i="5"/>
  <c r="Q62" i="5"/>
  <c r="M63" i="5"/>
  <c r="Q63" i="5"/>
  <c r="M64" i="5"/>
  <c r="Q64" i="5"/>
  <c r="M66" i="5"/>
  <c r="Q66" i="5"/>
  <c r="M67" i="5"/>
  <c r="Q67" i="5"/>
  <c r="M68" i="5"/>
  <c r="Q68" i="5"/>
  <c r="L7" i="5"/>
  <c r="P7" i="5"/>
  <c r="L10" i="5"/>
  <c r="P10" i="5"/>
  <c r="L12" i="5"/>
  <c r="P12" i="5"/>
  <c r="L13" i="5"/>
  <c r="P13" i="5"/>
  <c r="L15" i="5"/>
  <c r="P15" i="5"/>
  <c r="L17" i="5"/>
  <c r="P17" i="5"/>
  <c r="L18" i="5"/>
  <c r="P18" i="5"/>
  <c r="L20" i="5"/>
  <c r="P20" i="5"/>
  <c r="L22" i="5"/>
  <c r="P22" i="5"/>
  <c r="P28" i="5"/>
  <c r="L28" i="5"/>
  <c r="P29" i="5"/>
  <c r="L29" i="5"/>
  <c r="L30" i="5"/>
  <c r="P30" i="5"/>
  <c r="P31" i="5"/>
  <c r="L31" i="5"/>
  <c r="J53" i="5"/>
  <c r="J71" i="5" s="1"/>
  <c r="P33" i="5"/>
  <c r="L33" i="5"/>
  <c r="P34" i="5"/>
  <c r="L34" i="5"/>
  <c r="P35" i="5"/>
  <c r="L35" i="5"/>
  <c r="L40" i="5"/>
  <c r="P40" i="5"/>
  <c r="P41" i="5"/>
  <c r="L41" i="5"/>
  <c r="L42" i="5"/>
  <c r="P42" i="5"/>
  <c r="L51" i="5"/>
  <c r="P51" i="5"/>
  <c r="L52" i="5"/>
  <c r="P52" i="5"/>
  <c r="L58" i="5"/>
  <c r="P58" i="5"/>
  <c r="L59" i="5"/>
  <c r="P59" i="5"/>
  <c r="L60" i="5"/>
  <c r="P60" i="5"/>
  <c r="L61" i="5"/>
  <c r="P61" i="5"/>
  <c r="L62" i="5"/>
  <c r="P62" i="5"/>
  <c r="L63" i="5"/>
  <c r="P63" i="5"/>
  <c r="L64" i="5"/>
  <c r="P64" i="5"/>
  <c r="L66" i="5"/>
  <c r="P66" i="5"/>
  <c r="L67" i="5"/>
  <c r="P67" i="5"/>
  <c r="L68" i="5"/>
  <c r="P68" i="5"/>
  <c r="K61" i="6"/>
  <c r="H24" i="5"/>
  <c r="H69" i="5"/>
  <c r="I69" i="5"/>
  <c r="H32" i="5"/>
  <c r="P32" i="5" s="1"/>
  <c r="I32" i="5"/>
  <c r="Q32" i="5" s="1"/>
  <c r="F61" i="6"/>
  <c r="G61" i="6"/>
  <c r="L44" i="5"/>
  <c r="M44" i="5"/>
  <c r="L6" i="5"/>
  <c r="L57" i="5"/>
  <c r="M6" i="5"/>
  <c r="M28" i="5"/>
  <c r="M57" i="5"/>
  <c r="E35" i="4"/>
  <c r="D35" i="4"/>
  <c r="C35" i="4"/>
  <c r="B35" i="4"/>
  <c r="G34" i="4"/>
  <c r="F34" i="4"/>
  <c r="G33" i="4"/>
  <c r="F33" i="4"/>
  <c r="G30" i="4"/>
  <c r="E30" i="4"/>
  <c r="K30" i="4" s="1"/>
  <c r="D30" i="4"/>
  <c r="J30" i="4" s="1"/>
  <c r="C30" i="4"/>
  <c r="B30" i="4"/>
  <c r="F29" i="4"/>
  <c r="F28" i="4"/>
  <c r="F27" i="4"/>
  <c r="F26" i="4"/>
  <c r="F25" i="4"/>
  <c r="F24" i="4"/>
  <c r="F23" i="4"/>
  <c r="F22" i="4"/>
  <c r="F21" i="4"/>
  <c r="F20" i="4"/>
  <c r="F19" i="4"/>
  <c r="G18" i="4"/>
  <c r="F18" i="4"/>
  <c r="G17" i="4"/>
  <c r="E17" i="4"/>
  <c r="K17" i="4" s="1"/>
  <c r="D17" i="4"/>
  <c r="J17" i="4" s="1"/>
  <c r="C17" i="4"/>
  <c r="B17" i="4"/>
  <c r="F16" i="4"/>
  <c r="F15" i="4"/>
  <c r="F14" i="4"/>
  <c r="F12" i="4"/>
  <c r="F11" i="4"/>
  <c r="F10" i="4"/>
  <c r="F9" i="4"/>
  <c r="F8" i="4"/>
  <c r="F7" i="4"/>
  <c r="F6" i="4"/>
  <c r="BM69" i="5" l="1"/>
  <c r="BK52" i="5"/>
  <c r="BM52" i="5"/>
  <c r="BM44" i="5" s="1"/>
  <c r="BM53" i="5" s="1"/>
  <c r="BK7" i="5"/>
  <c r="BM7" i="5"/>
  <c r="BK32" i="5"/>
  <c r="BF6" i="5"/>
  <c r="AP6" i="5"/>
  <c r="AN6" i="5"/>
  <c r="AH53" i="5"/>
  <c r="AI53" i="5"/>
  <c r="BF55" i="5"/>
  <c r="AP55" i="5"/>
  <c r="AN55" i="5"/>
  <c r="BF44" i="5"/>
  <c r="BF53" i="5" s="1"/>
  <c r="BK51" i="5"/>
  <c r="BK44" i="5" s="1"/>
  <c r="BK53" i="5" s="1"/>
  <c r="BG44" i="5"/>
  <c r="BG53" i="5" s="1"/>
  <c r="BL51" i="5"/>
  <c r="BL44" i="5" s="1"/>
  <c r="BL53" i="5" s="1"/>
  <c r="BF69" i="5"/>
  <c r="BK57" i="5"/>
  <c r="BK69" i="5" s="1"/>
  <c r="BG69" i="5"/>
  <c r="BL57" i="5"/>
  <c r="BL69" i="5" s="1"/>
  <c r="AN44" i="5"/>
  <c r="AP44" i="5"/>
  <c r="BG55" i="5"/>
  <c r="BL55" i="5" s="1"/>
  <c r="AQ55" i="5"/>
  <c r="AO55" i="5"/>
  <c r="AO44" i="5"/>
  <c r="AQ44" i="5"/>
  <c r="AH24" i="5"/>
  <c r="AQ24" i="5"/>
  <c r="AO24" i="5"/>
  <c r="AH69" i="5"/>
  <c r="AN57" i="5"/>
  <c r="AP57" i="5"/>
  <c r="AN32" i="5"/>
  <c r="AP32" i="5"/>
  <c r="AI69" i="5"/>
  <c r="AQ57" i="5"/>
  <c r="AO57" i="5"/>
  <c r="AQ32" i="5"/>
  <c r="AO32" i="5"/>
  <c r="C39" i="4"/>
  <c r="K35" i="4"/>
  <c r="E39" i="4"/>
  <c r="K39" i="4" s="1"/>
  <c r="B39" i="4"/>
  <c r="J35" i="4"/>
  <c r="D39" i="4"/>
  <c r="J39" i="4" s="1"/>
  <c r="P24" i="5"/>
  <c r="Q24" i="5"/>
  <c r="L32" i="5"/>
  <c r="I53" i="5"/>
  <c r="M53" i="5" s="1"/>
  <c r="M69" i="5"/>
  <c r="Q69" i="5"/>
  <c r="L69" i="5"/>
  <c r="P69" i="5"/>
  <c r="H53" i="5"/>
  <c r="P53" i="5" s="1"/>
  <c r="L24" i="5"/>
  <c r="M32" i="5"/>
  <c r="F17" i="4"/>
  <c r="F30" i="4"/>
  <c r="F35" i="4"/>
  <c r="G35" i="4"/>
  <c r="G39" i="4" s="1"/>
  <c r="BK55" i="5" l="1"/>
  <c r="BM55" i="5"/>
  <c r="BF24" i="5"/>
  <c r="BF71" i="5" s="1"/>
  <c r="BM6" i="5"/>
  <c r="BM24" i="5" s="1"/>
  <c r="BM71" i="5" s="1"/>
  <c r="BK6" i="5"/>
  <c r="BK24" i="5" s="1"/>
  <c r="AP53" i="5"/>
  <c r="AO53" i="5"/>
  <c r="AQ53" i="5"/>
  <c r="AN53" i="5"/>
  <c r="BL71" i="5"/>
  <c r="BG71" i="5"/>
  <c r="BK71" i="5"/>
  <c r="AI71" i="5"/>
  <c r="AO69" i="5"/>
  <c r="AO71" i="5" s="1"/>
  <c r="AQ69" i="5"/>
  <c r="AP69" i="5"/>
  <c r="AN69" i="5"/>
  <c r="AN24" i="5"/>
  <c r="AH71" i="5"/>
  <c r="AP24" i="5"/>
  <c r="M71" i="5"/>
  <c r="F39" i="4"/>
  <c r="I71" i="5"/>
  <c r="P71" i="5"/>
  <c r="H71" i="5"/>
  <c r="L53" i="5"/>
  <c r="L71" i="5" s="1"/>
  <c r="Q53" i="5"/>
  <c r="Q71" i="5" s="1"/>
  <c r="AQ71" i="5" l="1"/>
  <c r="AN71" i="5"/>
  <c r="AP71" i="5"/>
</calcChain>
</file>

<file path=xl/sharedStrings.xml><?xml version="1.0" encoding="utf-8"?>
<sst xmlns="http://schemas.openxmlformats.org/spreadsheetml/2006/main" count="576" uniqueCount="301">
  <si>
    <t>Наименование</t>
  </si>
  <si>
    <t>январь</t>
  </si>
  <si>
    <t>экономия(+), перерасход (-)</t>
  </si>
  <si>
    <t>февраль</t>
  </si>
  <si>
    <t>март</t>
  </si>
  <si>
    <t>Квтч</t>
  </si>
  <si>
    <t>сумма</t>
  </si>
  <si>
    <t>Сумма</t>
  </si>
  <si>
    <t>ЦРБ</t>
  </si>
  <si>
    <t>Образование</t>
  </si>
  <si>
    <t>Красногорская ср.школа</t>
  </si>
  <si>
    <t>Гимназия</t>
  </si>
  <si>
    <t>Архангельская ср.шк.</t>
  </si>
  <si>
    <t>Васильевская осн.шк.</t>
  </si>
  <si>
    <t>Селег. нач.шк.</t>
  </si>
  <si>
    <t>Дебинск.ср.шк.</t>
  </si>
  <si>
    <t>Баранов.ср.шк.</t>
  </si>
  <si>
    <t>Кокман нач.шк.</t>
  </si>
  <si>
    <t>Валамаз.ср.шк.</t>
  </si>
  <si>
    <t>Малягурт дет.- сад</t>
  </si>
  <si>
    <t>Хозбаза РОНО</t>
  </si>
  <si>
    <t>ДЮСШ</t>
  </si>
  <si>
    <t>Детский сад №2</t>
  </si>
  <si>
    <t>Детский сад №3</t>
  </si>
  <si>
    <t>Багыр д.сад</t>
  </si>
  <si>
    <t>ЦДТ</t>
  </si>
  <si>
    <t>ИТОГО по образованию</t>
  </si>
  <si>
    <t>Культура (адм.)</t>
  </si>
  <si>
    <t>МЦ Встреча</t>
  </si>
  <si>
    <t>Музей</t>
  </si>
  <si>
    <t>РДК МКСК "Красногорский"</t>
  </si>
  <si>
    <t>ДШИ</t>
  </si>
  <si>
    <t>Клубы МКСК</t>
  </si>
  <si>
    <t>Васильевский ЦСДК</t>
  </si>
  <si>
    <t>Дебинский ЦСДК</t>
  </si>
  <si>
    <t>Малягуртский СДД и библ.</t>
  </si>
  <si>
    <t>Курьинский ЦСДК</t>
  </si>
  <si>
    <t>Селеговский ЦСДК</t>
  </si>
  <si>
    <t>Барановский ЦСДК</t>
  </si>
  <si>
    <t>Архангельский ЦСДК</t>
  </si>
  <si>
    <t>Валамазский СДК</t>
  </si>
  <si>
    <t>Артыкский клуб и библиот.</t>
  </si>
  <si>
    <t>Кокманский СДК (спортзал)</t>
  </si>
  <si>
    <t>ДДПИ</t>
  </si>
  <si>
    <t>Библиотеки:</t>
  </si>
  <si>
    <t>Васильевская библиот.</t>
  </si>
  <si>
    <t>Курьинская библиот.</t>
  </si>
  <si>
    <t>Селеговская библиот.</t>
  </si>
  <si>
    <t>Барановская библиот.</t>
  </si>
  <si>
    <t>Валамазская библиот.</t>
  </si>
  <si>
    <t>Кокманская библиот.</t>
  </si>
  <si>
    <t>Мухинская библиотека</t>
  </si>
  <si>
    <t>Багырская библиотека</t>
  </si>
  <si>
    <t>Итого по культуре</t>
  </si>
  <si>
    <t>Детский дом</t>
  </si>
  <si>
    <t>Управление</t>
  </si>
  <si>
    <t>Администрация района</t>
  </si>
  <si>
    <t xml:space="preserve">Управление финансов </t>
  </si>
  <si>
    <t>МО Агрикольское</t>
  </si>
  <si>
    <t>МО Красногорское</t>
  </si>
  <si>
    <t>МО Архангельское</t>
  </si>
  <si>
    <t>МО Валамаз</t>
  </si>
  <si>
    <t>МО Кокман</t>
  </si>
  <si>
    <t>МО Дебинское</t>
  </si>
  <si>
    <t>МО Прохоровское</t>
  </si>
  <si>
    <t>МО Васильевское</t>
  </si>
  <si>
    <t>МО Курьинское</t>
  </si>
  <si>
    <t>МО Селеговское</t>
  </si>
  <si>
    <t>ИТОГО по управлению</t>
  </si>
  <si>
    <t>ВСЕГО</t>
  </si>
  <si>
    <t>за 1 квартал</t>
  </si>
  <si>
    <t>лимиты на 1 квартал</t>
  </si>
  <si>
    <t>Дом ремесел</t>
  </si>
  <si>
    <t>потребители</t>
  </si>
  <si>
    <t>факт 1 кв.2013 г</t>
  </si>
  <si>
    <t>экономия (+), перерасход(-) лимитов</t>
  </si>
  <si>
    <t>лимит</t>
  </si>
  <si>
    <t>Гкал</t>
  </si>
  <si>
    <t>т. руб.</t>
  </si>
  <si>
    <t>тыс.руб.</t>
  </si>
  <si>
    <t>РОНО</t>
  </si>
  <si>
    <t>ДОУ №1</t>
  </si>
  <si>
    <t>ДОУ№2</t>
  </si>
  <si>
    <t>ДОУ №3</t>
  </si>
  <si>
    <t>Бараны ср.шк</t>
  </si>
  <si>
    <t>Арханг.ср.шк</t>
  </si>
  <si>
    <t>Красног.ср.шк</t>
  </si>
  <si>
    <t>Васильевская школа</t>
  </si>
  <si>
    <t>Валамазская школа</t>
  </si>
  <si>
    <t>Селеговская школа</t>
  </si>
  <si>
    <t>Дебинская школа</t>
  </si>
  <si>
    <t>Курьинская школа</t>
  </si>
  <si>
    <t>итого</t>
  </si>
  <si>
    <t>Администрация р-а</t>
  </si>
  <si>
    <t>Управление финансов</t>
  </si>
  <si>
    <t>Отдел культуры</t>
  </si>
  <si>
    <t>РДК</t>
  </si>
  <si>
    <t>Детская библиотека</t>
  </si>
  <si>
    <t>Архангельская библ.</t>
  </si>
  <si>
    <t>Васильевская  библ.</t>
  </si>
  <si>
    <t>Курьинская библ.</t>
  </si>
  <si>
    <t>Селегов.библ.</t>
  </si>
  <si>
    <t>Валамаз.библ.</t>
  </si>
  <si>
    <t>Баран.библ.</t>
  </si>
  <si>
    <t>Бараны ЦСДК</t>
  </si>
  <si>
    <t xml:space="preserve">Дебинский  ЦСДК </t>
  </si>
  <si>
    <t>Архангельск.ЦСДК</t>
  </si>
  <si>
    <t>Дебинская библиотека</t>
  </si>
  <si>
    <t>всего</t>
  </si>
  <si>
    <r>
      <t>Газ Детский дом ,</t>
    </r>
    <r>
      <rPr>
        <b/>
        <sz val="9"/>
        <rFont val="Arial"/>
        <family val="2"/>
        <charset val="204"/>
      </rPr>
      <t>м куб.</t>
    </r>
  </si>
  <si>
    <t>факт</t>
  </si>
  <si>
    <t>экономия(+_), перерасход(-) лимитов</t>
  </si>
  <si>
    <t>м куб.</t>
  </si>
  <si>
    <t>Кокман нач.школа</t>
  </si>
  <si>
    <t>Малягурт сад</t>
  </si>
  <si>
    <t>Хозгруппа</t>
  </si>
  <si>
    <t>Красногорск.ср.шк.</t>
  </si>
  <si>
    <t>Васильевская ср.шк.</t>
  </si>
  <si>
    <t>Багыр д\с</t>
  </si>
  <si>
    <t>Курьинская школа + д/с</t>
  </si>
  <si>
    <t>Кокман библиот</t>
  </si>
  <si>
    <t xml:space="preserve">Артык СДК </t>
  </si>
  <si>
    <t>Валамаз СДК</t>
  </si>
  <si>
    <t>Селег СДК</t>
  </si>
  <si>
    <t>Кокман СДК</t>
  </si>
  <si>
    <t>Мухино СДК и библ.</t>
  </si>
  <si>
    <t>Васильевский СДК</t>
  </si>
  <si>
    <t>Малягурт СДК</t>
  </si>
  <si>
    <t>Кокман С\а</t>
  </si>
  <si>
    <t>Валамаз с\а</t>
  </si>
  <si>
    <t xml:space="preserve"> </t>
  </si>
  <si>
    <t>Курьин.ср.шк. д/с</t>
  </si>
  <si>
    <t>Красногорский МФЦ</t>
  </si>
  <si>
    <t>ДОМ ремесел</t>
  </si>
  <si>
    <t>Наименование учреждения</t>
  </si>
  <si>
    <t>Лимит потребления</t>
  </si>
  <si>
    <t>метр куб.</t>
  </si>
  <si>
    <t>Арханг, ср.школа</t>
  </si>
  <si>
    <t>Бараны ср. шк.</t>
  </si>
  <si>
    <t>Валамазская ср.ш</t>
  </si>
  <si>
    <t>Васил.ср. школа</t>
  </si>
  <si>
    <t>Дебы ср. школа</t>
  </si>
  <si>
    <t>ДОУ № 1</t>
  </si>
  <si>
    <t>ДОУ №2</t>
  </si>
  <si>
    <t>ДОУ № 3</t>
  </si>
  <si>
    <t>Кокман. нач. шк.</t>
  </si>
  <si>
    <t>Красногорская ср. шк.</t>
  </si>
  <si>
    <t>Курьинская ср.шк.</t>
  </si>
  <si>
    <t xml:space="preserve">Малягурт шк.-сад </t>
  </si>
  <si>
    <t>Итого по образованию</t>
  </si>
  <si>
    <t>Красногорская с/а</t>
  </si>
  <si>
    <t>Архангелькая с/а</t>
  </si>
  <si>
    <t>Курьинская с/а</t>
  </si>
  <si>
    <t>Селеговская с/а</t>
  </si>
  <si>
    <t>Дебы с/а</t>
  </si>
  <si>
    <t>Кокман с/а</t>
  </si>
  <si>
    <t>Валамазкая с/а</t>
  </si>
  <si>
    <t>Итого по администрациям</t>
  </si>
  <si>
    <t>АрхангельскийЦСДК и б-ка</t>
  </si>
  <si>
    <t>Дебинский ЦСДК и б-ка</t>
  </si>
  <si>
    <t>Валамазкий СДК</t>
  </si>
  <si>
    <t>Кокманский СДК</t>
  </si>
  <si>
    <t>СДК периферия</t>
  </si>
  <si>
    <t>Курьинская б-ка</t>
  </si>
  <si>
    <t>Кокманская б-ка</t>
  </si>
  <si>
    <t>Селеговская б-ка</t>
  </si>
  <si>
    <t>Валамазкая б-ка</t>
  </si>
  <si>
    <t>МБУК "Красногорская межпос-я биб-ка</t>
  </si>
  <si>
    <t>Итого по библиотекам и ЦСДК</t>
  </si>
  <si>
    <t>МЦ "Встреча"</t>
  </si>
  <si>
    <t>Итого</t>
  </si>
  <si>
    <t>МАУ МФЦ</t>
  </si>
  <si>
    <t>эконом.+ - перерасход</t>
  </si>
  <si>
    <t>Детский сад № 1</t>
  </si>
  <si>
    <t>Потребление электрической энергии за 2014 год МО "Красногорский район"</t>
  </si>
  <si>
    <t>Агрикольская с/а</t>
  </si>
  <si>
    <t>Факт потребления 1 кв 2013</t>
  </si>
  <si>
    <t>метр. куб</t>
  </si>
  <si>
    <t>Факт потребления 1 кв 2014</t>
  </si>
  <si>
    <t>Отклонение, +, -</t>
  </si>
  <si>
    <t>отклонение, +, -</t>
  </si>
  <si>
    <t>1 кв.  2014 год</t>
  </si>
  <si>
    <t>т.руб</t>
  </si>
  <si>
    <t>отклонение +,-</t>
  </si>
  <si>
    <t>за 1 кв 2013 год</t>
  </si>
  <si>
    <t>ИТОГО</t>
  </si>
  <si>
    <t>ЦРБ ФАПы</t>
  </si>
  <si>
    <t>Всего</t>
  </si>
  <si>
    <t>1 квартал 2014 г</t>
  </si>
  <si>
    <t>лимит 1 кв. 2014 г</t>
  </si>
  <si>
    <t>факт 2013 г</t>
  </si>
  <si>
    <t>м.куб</t>
  </si>
  <si>
    <t>тыс.руб</t>
  </si>
  <si>
    <t>Потребление тепловой энергии за 1 квартал 2014 год</t>
  </si>
  <si>
    <t>факт 1 кв.2014 г</t>
  </si>
  <si>
    <t>КЦСОН</t>
  </si>
  <si>
    <t>2 кв.  2014 год</t>
  </si>
  <si>
    <t>факт 2 кв.2014 г</t>
  </si>
  <si>
    <t>факт 2 кв.2013 г</t>
  </si>
  <si>
    <t>лимит 1 полугодие .2014 г</t>
  </si>
  <si>
    <t>факт  1 полугодие 2014 г</t>
  </si>
  <si>
    <t>перерасход(-), экономия (+)</t>
  </si>
  <si>
    <t>факт 1 полугодие 2013 г</t>
  </si>
  <si>
    <t>т. руб</t>
  </si>
  <si>
    <t>отклонение от 2013 г,                   + (меньше),             - (больше)</t>
  </si>
  <si>
    <t>лимит 3 кв. 2014</t>
  </si>
  <si>
    <t>факт 3 кв.2014</t>
  </si>
  <si>
    <t>факт 3 кв.2013 г</t>
  </si>
  <si>
    <t>2 квартал 2014 г</t>
  </si>
  <si>
    <t>лимит 1 полугодие 2014 г</t>
  </si>
  <si>
    <t>факт 1 полугодие 2014 г</t>
  </si>
  <si>
    <t>факт за 1 полугодие 2013 г.</t>
  </si>
  <si>
    <t>лимит 2 кв. 2014 г</t>
  </si>
  <si>
    <t>м. куб</t>
  </si>
  <si>
    <t>факт 3 квартал 2014 г</t>
  </si>
  <si>
    <t>факт 9 мес. 2014 г</t>
  </si>
  <si>
    <t>факт 9 мес.2014</t>
  </si>
  <si>
    <t>Факт потребления 2 кв 2014</t>
  </si>
  <si>
    <t>Лимит потребления 2 квартал 2014 г.</t>
  </si>
  <si>
    <t>экономия + , - перерасход</t>
  </si>
  <si>
    <t>Факт  1 полугодие 2014 г</t>
  </si>
  <si>
    <t>Лимит 1 полугодие 2014 г</t>
  </si>
  <si>
    <t>Экономия +, - перерасход</t>
  </si>
  <si>
    <t>метр.куб</t>
  </si>
  <si>
    <t>Факт 3 кв.  2014 г</t>
  </si>
  <si>
    <t>Лимит 3 кв. 2014 г</t>
  </si>
  <si>
    <t>сумма, руб</t>
  </si>
  <si>
    <t>лимиты 3 кв.2014</t>
  </si>
  <si>
    <t>м.куб.</t>
  </si>
  <si>
    <t>тыс. руб.</t>
  </si>
  <si>
    <t>Васильевская с/а</t>
  </si>
  <si>
    <t>Экономия +,           - перерасход за 3 кв.2014 г</t>
  </si>
  <si>
    <t>Факт 9мес.  2014 г</t>
  </si>
  <si>
    <t>Лимит 9мес.2014 г</t>
  </si>
  <si>
    <t>Экономия +,           - перерасход за 9мес.2014 г</t>
  </si>
  <si>
    <t>лимит 9 мес. 2014</t>
  </si>
  <si>
    <t>перерасход(-), экономия (+) за 3 кв.2014г</t>
  </si>
  <si>
    <t>перерасход(-), экономия (+) за 9 мес.2014г</t>
  </si>
  <si>
    <t>апрель</t>
  </si>
  <si>
    <t>май</t>
  </si>
  <si>
    <t>июнь</t>
  </si>
  <si>
    <t>факт за 2 квартал</t>
  </si>
  <si>
    <t>лимиты на 2 квартал</t>
  </si>
  <si>
    <t>факт за 2 кв 2013 год</t>
  </si>
  <si>
    <t>факт за 1 полугодие 2014 г</t>
  </si>
  <si>
    <t>факт за 1 полугодие 2013 г</t>
  </si>
  <si>
    <t>лимит на 1 полугодие</t>
  </si>
  <si>
    <t>экономия(+), перерасход ( -)</t>
  </si>
  <si>
    <t>июль</t>
  </si>
  <si>
    <t>август</t>
  </si>
  <si>
    <t>сентябрь</t>
  </si>
  <si>
    <t>Потребление  воды  за 2014  год  по   МО  "Красногорский район"</t>
  </si>
  <si>
    <t>лимит 9 мес.</t>
  </si>
  <si>
    <t>перерасход(-), экономия (+) за 9 мес.</t>
  </si>
  <si>
    <t>факт 3 кв.2014 г</t>
  </si>
  <si>
    <t>экономия(+), перерасход ( -) за 3 кв.</t>
  </si>
  <si>
    <t>факт 9 мес.2014 г</t>
  </si>
  <si>
    <t>лимиты 9 мес.2014 г</t>
  </si>
  <si>
    <t>экономия(+),                       перерасход (-)                                  за 9 мес.2014г</t>
  </si>
  <si>
    <t>факт 3 кв. 2013 г</t>
  </si>
  <si>
    <t>факт 9 мес.2013 г</t>
  </si>
  <si>
    <t>отклонение             "+" меньше 2013 г              "-" больше 2013 г</t>
  </si>
  <si>
    <t>октябрь</t>
  </si>
  <si>
    <t>ноябрь</t>
  </si>
  <si>
    <t>Декабрь</t>
  </si>
  <si>
    <t>факт 4 кв.2014 г</t>
  </si>
  <si>
    <t>лимиты 4 кв.2014</t>
  </si>
  <si>
    <t>экономия(+), перерасход ( -) за 4 кв.</t>
  </si>
  <si>
    <t>факт 4 кв. 2013 г</t>
  </si>
  <si>
    <t>факт 2014 г</t>
  </si>
  <si>
    <t>лимиты 2014</t>
  </si>
  <si>
    <t>экономия(+), перерасход ( -) за 2014 год</t>
  </si>
  <si>
    <t>факт   2013 г</t>
  </si>
  <si>
    <t>факт 2009 г</t>
  </si>
  <si>
    <t>перерасход(-), экономия (+) за 2014 год</t>
  </si>
  <si>
    <t>факт 4 квартал 2014 год</t>
  </si>
  <si>
    <t>лимит  4 квартал  2014 год</t>
  </si>
  <si>
    <t>перерасход(-), экономия (+) за 4 кв. 2014 год</t>
  </si>
  <si>
    <t>факт  2014 год</t>
  </si>
  <si>
    <t>лимит    2014 год</t>
  </si>
  <si>
    <t>перерасход(-), экономия (+) за  2014 год</t>
  </si>
  <si>
    <t>Факт 4 кв.  2014 г</t>
  </si>
  <si>
    <t>Лимит 4 кв. 2014 г</t>
  </si>
  <si>
    <t>Экономия +,           - перерасход за 4 кв.2014 г</t>
  </si>
  <si>
    <t>Факт   2014 г</t>
  </si>
  <si>
    <t>Лимит 2014 г</t>
  </si>
  <si>
    <t>Экономия +,           - перерасход за 2014 г</t>
  </si>
  <si>
    <t>Факт 2013</t>
  </si>
  <si>
    <t>куб.м</t>
  </si>
  <si>
    <t>факт 4 квартал 2014 г</t>
  </si>
  <si>
    <t>факт  2014 г</t>
  </si>
  <si>
    <t>лимит 2014 год</t>
  </si>
  <si>
    <t>2013 факт</t>
  </si>
  <si>
    <t xml:space="preserve">2009 г </t>
  </si>
  <si>
    <t>Васильевская ООШ</t>
  </si>
  <si>
    <t>2009 г</t>
  </si>
  <si>
    <t>тонн</t>
  </si>
  <si>
    <t>УГОЛЬ 2009 г</t>
  </si>
  <si>
    <t>474,22+17,82</t>
  </si>
  <si>
    <t>Потребление дров  за  2014 г, м куб.</t>
  </si>
  <si>
    <t>2013 г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</si>
</sst>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i/>
      <sz val="9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5" fillId="0" borderId="0" xfId="0" applyFont="1"/>
    <xf numFmtId="0" fontId="15" fillId="0" borderId="0" xfId="0" applyFont="1"/>
    <xf numFmtId="0" fontId="11" fillId="2" borderId="3" xfId="0" applyFont="1" applyFill="1" applyBorder="1"/>
    <xf numFmtId="0" fontId="11" fillId="3" borderId="3" xfId="0" applyFont="1" applyFill="1" applyBorder="1"/>
    <xf numFmtId="0" fontId="11" fillId="4" borderId="3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11" fillId="7" borderId="3" xfId="0" applyFont="1" applyFill="1" applyBorder="1"/>
    <xf numFmtId="0" fontId="0" fillId="8" borderId="3" xfId="0" applyFill="1" applyBorder="1"/>
    <xf numFmtId="0" fontId="0" fillId="9" borderId="3" xfId="0" applyFill="1" applyBorder="1"/>
    <xf numFmtId="0" fontId="25" fillId="8" borderId="3" xfId="0" applyFont="1" applyFill="1" applyBorder="1"/>
    <xf numFmtId="0" fontId="25" fillId="9" borderId="3" xfId="0" applyFont="1" applyFill="1" applyBorder="1"/>
    <xf numFmtId="0" fontId="12" fillId="10" borderId="3" xfId="0" applyFont="1" applyFill="1" applyBorder="1"/>
    <xf numFmtId="0" fontId="26" fillId="10" borderId="3" xfId="0" applyFont="1" applyFill="1" applyBorder="1"/>
    <xf numFmtId="0" fontId="12" fillId="2" borderId="3" xfId="0" applyFont="1" applyFill="1" applyBorder="1"/>
    <xf numFmtId="0" fontId="12" fillId="3" borderId="3" xfId="0" applyFont="1" applyFill="1" applyBorder="1"/>
    <xf numFmtId="0" fontId="12" fillId="4" borderId="3" xfId="0" applyFont="1" applyFill="1" applyBorder="1"/>
    <xf numFmtId="0" fontId="12" fillId="5" borderId="3" xfId="0" applyFont="1" applyFill="1" applyBorder="1"/>
    <xf numFmtId="0" fontId="12" fillId="6" borderId="3" xfId="0" applyFont="1" applyFill="1" applyBorder="1"/>
    <xf numFmtId="0" fontId="12" fillId="7" borderId="3" xfId="0" applyFont="1" applyFill="1" applyBorder="1"/>
    <xf numFmtId="0" fontId="13" fillId="2" borderId="3" xfId="0" applyFont="1" applyFill="1" applyBorder="1"/>
    <xf numFmtId="0" fontId="27" fillId="3" borderId="3" xfId="0" applyFont="1" applyFill="1" applyBorder="1"/>
    <xf numFmtId="0" fontId="13" fillId="4" borderId="3" xfId="0" applyFont="1" applyFill="1" applyBorder="1"/>
    <xf numFmtId="0" fontId="13" fillId="5" borderId="3" xfId="0" applyFont="1" applyFill="1" applyBorder="1"/>
    <xf numFmtId="0" fontId="13" fillId="6" borderId="3" xfId="0" applyFont="1" applyFill="1" applyBorder="1"/>
    <xf numFmtId="0" fontId="13" fillId="7" borderId="3" xfId="0" applyFont="1" applyFill="1" applyBorder="1"/>
    <xf numFmtId="0" fontId="26" fillId="8" borderId="3" xfId="0" applyFont="1" applyFill="1" applyBorder="1"/>
    <xf numFmtId="0" fontId="26" fillId="9" borderId="3" xfId="0" applyFont="1" applyFill="1" applyBorder="1"/>
    <xf numFmtId="0" fontId="5" fillId="0" borderId="3" xfId="0" applyFont="1" applyFill="1" applyBorder="1"/>
    <xf numFmtId="0" fontId="8" fillId="0" borderId="3" xfId="0" applyFont="1" applyFill="1" applyBorder="1"/>
    <xf numFmtId="0" fontId="6" fillId="0" borderId="3" xfId="0" applyFont="1" applyFill="1" applyBorder="1" applyAlignment="1">
      <alignment horizontal="justify"/>
    </xf>
    <xf numFmtId="0" fontId="0" fillId="0" borderId="3" xfId="0" applyBorder="1"/>
    <xf numFmtId="0" fontId="15" fillId="0" borderId="3" xfId="0" applyFont="1" applyBorder="1"/>
    <xf numFmtId="0" fontId="28" fillId="0" borderId="0" xfId="0" applyFont="1"/>
    <xf numFmtId="0" fontId="8" fillId="10" borderId="3" xfId="0" applyFont="1" applyFill="1" applyBorder="1"/>
    <xf numFmtId="0" fontId="0" fillId="10" borderId="0" xfId="0" applyFill="1"/>
    <xf numFmtId="0" fontId="5" fillId="10" borderId="3" xfId="0" applyFont="1" applyFill="1" applyBorder="1"/>
    <xf numFmtId="0" fontId="15" fillId="10" borderId="3" xfId="0" applyFont="1" applyFill="1" applyBorder="1"/>
    <xf numFmtId="2" fontId="0" fillId="0" borderId="0" xfId="0" applyNumberFormat="1"/>
    <xf numFmtId="2" fontId="11" fillId="9" borderId="3" xfId="0" applyNumberFormat="1" applyFont="1" applyFill="1" applyBorder="1"/>
    <xf numFmtId="2" fontId="12" fillId="10" borderId="3" xfId="0" applyNumberFormat="1" applyFont="1" applyFill="1" applyBorder="1"/>
    <xf numFmtId="2" fontId="12" fillId="9" borderId="3" xfId="0" applyNumberFormat="1" applyFont="1" applyFill="1" applyBorder="1"/>
    <xf numFmtId="0" fontId="0" fillId="10" borderId="3" xfId="0" applyFill="1" applyBorder="1"/>
    <xf numFmtId="2" fontId="11" fillId="3" borderId="3" xfId="0" applyNumberFormat="1" applyFont="1" applyFill="1" applyBorder="1"/>
    <xf numFmtId="2" fontId="12" fillId="3" borderId="3" xfId="0" applyNumberFormat="1" applyFont="1" applyFill="1" applyBorder="1"/>
    <xf numFmtId="2" fontId="16" fillId="3" borderId="3" xfId="0" applyNumberFormat="1" applyFont="1" applyFill="1" applyBorder="1"/>
    <xf numFmtId="164" fontId="0" fillId="0" borderId="0" xfId="0" applyNumberFormat="1"/>
    <xf numFmtId="164" fontId="11" fillId="3" borderId="3" xfId="0" applyNumberFormat="1" applyFont="1" applyFill="1" applyBorder="1"/>
    <xf numFmtId="164" fontId="12" fillId="10" borderId="3" xfId="0" applyNumberFormat="1" applyFont="1" applyFill="1" applyBorder="1"/>
    <xf numFmtId="164" fontId="12" fillId="3" borderId="3" xfId="0" applyNumberFormat="1" applyFont="1" applyFill="1" applyBorder="1"/>
    <xf numFmtId="164" fontId="16" fillId="3" borderId="3" xfId="0" applyNumberFormat="1" applyFont="1" applyFill="1" applyBorder="1"/>
    <xf numFmtId="164" fontId="11" fillId="4" borderId="3" xfId="0" applyNumberFormat="1" applyFont="1" applyFill="1" applyBorder="1"/>
    <xf numFmtId="164" fontId="12" fillId="4" borderId="3" xfId="0" applyNumberFormat="1" applyFont="1" applyFill="1" applyBorder="1"/>
    <xf numFmtId="164" fontId="13" fillId="4" borderId="3" xfId="0" applyNumberFormat="1" applyFont="1" applyFill="1" applyBorder="1"/>
    <xf numFmtId="164" fontId="27" fillId="3" borderId="3" xfId="0" applyNumberFormat="1" applyFont="1" applyFill="1" applyBorder="1"/>
    <xf numFmtId="2" fontId="11" fillId="7" borderId="3" xfId="0" applyNumberFormat="1" applyFont="1" applyFill="1" applyBorder="1"/>
    <xf numFmtId="0" fontId="0" fillId="2" borderId="3" xfId="0" applyFill="1" applyBorder="1"/>
    <xf numFmtId="0" fontId="0" fillId="11" borderId="3" xfId="0" applyFill="1" applyBorder="1"/>
    <xf numFmtId="164" fontId="0" fillId="11" borderId="3" xfId="0" applyNumberFormat="1" applyFill="1" applyBorder="1"/>
    <xf numFmtId="164" fontId="26" fillId="10" borderId="3" xfId="0" applyNumberFormat="1" applyFont="1" applyFill="1" applyBorder="1"/>
    <xf numFmtId="164" fontId="0" fillId="10" borderId="3" xfId="0" applyNumberFormat="1" applyFill="1" applyBorder="1"/>
    <xf numFmtId="164" fontId="15" fillId="10" borderId="3" xfId="0" applyNumberFormat="1" applyFont="1" applyFill="1" applyBorder="1"/>
    <xf numFmtId="164" fontId="0" fillId="0" borderId="3" xfId="0" applyNumberFormat="1" applyBorder="1"/>
    <xf numFmtId="164" fontId="0" fillId="9" borderId="3" xfId="0" applyNumberFormat="1" applyFill="1" applyBorder="1"/>
    <xf numFmtId="164" fontId="25" fillId="9" borderId="3" xfId="0" applyNumberFormat="1" applyFont="1" applyFill="1" applyBorder="1"/>
    <xf numFmtId="164" fontId="26" fillId="9" borderId="3" xfId="0" applyNumberFormat="1" applyFont="1" applyFill="1" applyBorder="1"/>
    <xf numFmtId="2" fontId="0" fillId="11" borderId="3" xfId="0" applyNumberFormat="1" applyFill="1" applyBorder="1"/>
    <xf numFmtId="2" fontId="0" fillId="10" borderId="3" xfId="0" applyNumberFormat="1" applyFill="1" applyBorder="1"/>
    <xf numFmtId="2" fontId="15" fillId="10" borderId="3" xfId="0" applyNumberFormat="1" applyFont="1" applyFill="1" applyBorder="1"/>
    <xf numFmtId="2" fontId="0" fillId="0" borderId="3" xfId="0" applyNumberFormat="1" applyBorder="1"/>
    <xf numFmtId="0" fontId="0" fillId="0" borderId="0" xfId="0" applyBorder="1" applyAlignment="1"/>
    <xf numFmtId="0" fontId="17" fillId="0" borderId="8" xfId="0" applyFont="1" applyBorder="1"/>
    <xf numFmtId="0" fontId="18" fillId="0" borderId="1" xfId="0" applyFont="1" applyBorder="1" applyAlignment="1"/>
    <xf numFmtId="0" fontId="0" fillId="0" borderId="9" xfId="0" applyBorder="1" applyAlignment="1"/>
    <xf numFmtId="0" fontId="0" fillId="0" borderId="2" xfId="0" applyBorder="1" applyAlignment="1"/>
    <xf numFmtId="0" fontId="18" fillId="5" borderId="3" xfId="0" applyFont="1" applyFill="1" applyBorder="1" applyAlignment="1"/>
    <xf numFmtId="0" fontId="0" fillId="5" borderId="3" xfId="0" applyFill="1" applyBorder="1" applyAlignment="1"/>
    <xf numFmtId="0" fontId="18" fillId="3" borderId="3" xfId="0" applyFont="1" applyFill="1" applyBorder="1"/>
    <xf numFmtId="0" fontId="17" fillId="11" borderId="3" xfId="0" applyFont="1" applyFill="1" applyBorder="1"/>
    <xf numFmtId="0" fontId="18" fillId="11" borderId="3" xfId="0" applyFont="1" applyFill="1" applyBorder="1"/>
    <xf numFmtId="0" fontId="17" fillId="4" borderId="3" xfId="0" applyFont="1" applyFill="1" applyBorder="1"/>
    <xf numFmtId="0" fontId="18" fillId="4" borderId="3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wrapText="1"/>
    </xf>
    <xf numFmtId="0" fontId="18" fillId="4" borderId="3" xfId="0" applyFont="1" applyFill="1" applyBorder="1"/>
    <xf numFmtId="0" fontId="21" fillId="4" borderId="3" xfId="0" applyFont="1" applyFill="1" applyBorder="1" applyAlignment="1">
      <alignment horizontal="center" vertical="top" wrapText="1"/>
    </xf>
    <xf numFmtId="0" fontId="17" fillId="12" borderId="3" xfId="0" applyFont="1" applyFill="1" applyBorder="1"/>
    <xf numFmtId="0" fontId="18" fillId="12" borderId="3" xfId="0" applyFont="1" applyFill="1" applyBorder="1" applyAlignment="1">
      <alignment horizontal="center"/>
    </xf>
    <xf numFmtId="0" fontId="17" fillId="7" borderId="3" xfId="0" applyFont="1" applyFill="1" applyBorder="1"/>
    <xf numFmtId="0" fontId="18" fillId="7" borderId="3" xfId="0" applyFont="1" applyFill="1" applyBorder="1" applyAlignment="1">
      <alignment horizontal="center" vertical="top" wrapText="1"/>
    </xf>
    <xf numFmtId="0" fontId="18" fillId="7" borderId="3" xfId="0" applyFont="1" applyFill="1" applyBorder="1" applyAlignment="1">
      <alignment horizontal="center"/>
    </xf>
    <xf numFmtId="0" fontId="17" fillId="5" borderId="3" xfId="0" applyFont="1" applyFill="1" applyBorder="1"/>
    <xf numFmtId="0" fontId="18" fillId="5" borderId="3" xfId="0" applyFont="1" applyFill="1" applyBorder="1" applyAlignment="1">
      <alignment horizontal="center"/>
    </xf>
    <xf numFmtId="0" fontId="17" fillId="13" borderId="3" xfId="0" applyFont="1" applyFill="1" applyBorder="1"/>
    <xf numFmtId="0" fontId="18" fillId="13" borderId="3" xfId="0" applyFont="1" applyFill="1" applyBorder="1"/>
    <xf numFmtId="0" fontId="18" fillId="13" borderId="3" xfId="0" applyFont="1" applyFill="1" applyBorder="1" applyAlignment="1">
      <alignment horizontal="center"/>
    </xf>
    <xf numFmtId="0" fontId="17" fillId="14" borderId="3" xfId="0" applyFont="1" applyFill="1" applyBorder="1"/>
    <xf numFmtId="0" fontId="18" fillId="14" borderId="3" xfId="0" applyFont="1" applyFill="1" applyBorder="1"/>
    <xf numFmtId="0" fontId="18" fillId="14" borderId="3" xfId="0" applyFont="1" applyFill="1" applyBorder="1" applyAlignment="1">
      <alignment horizontal="center"/>
    </xf>
    <xf numFmtId="0" fontId="17" fillId="15" borderId="3" xfId="0" applyFont="1" applyFill="1" applyBorder="1"/>
    <xf numFmtId="0" fontId="18" fillId="15" borderId="3" xfId="0" applyFont="1" applyFill="1" applyBorder="1"/>
    <xf numFmtId="0" fontId="18" fillId="15" borderId="3" xfId="0" applyFont="1" applyFill="1" applyBorder="1" applyAlignment="1">
      <alignment horizontal="center"/>
    </xf>
    <xf numFmtId="0" fontId="17" fillId="16" borderId="3" xfId="0" applyFont="1" applyFill="1" applyBorder="1"/>
    <xf numFmtId="0" fontId="18" fillId="16" borderId="3" xfId="0" applyFont="1" applyFill="1" applyBorder="1" applyAlignment="1">
      <alignment horizontal="center" vertical="top" wrapText="1"/>
    </xf>
    <xf numFmtId="0" fontId="18" fillId="16" borderId="3" xfId="0" applyFont="1" applyFill="1" applyBorder="1" applyAlignment="1">
      <alignment horizontal="center" wrapText="1"/>
    </xf>
    <xf numFmtId="0" fontId="18" fillId="16" borderId="3" xfId="0" applyFont="1" applyFill="1" applyBorder="1"/>
    <xf numFmtId="0" fontId="21" fillId="16" borderId="3" xfId="0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horizontal="center" vertical="top" wrapText="1"/>
    </xf>
    <xf numFmtId="0" fontId="18" fillId="12" borderId="3" xfId="0" applyFont="1" applyFill="1" applyBorder="1"/>
    <xf numFmtId="0" fontId="18" fillId="3" borderId="3" xfId="0" applyFont="1" applyFill="1" applyBorder="1" applyAlignment="1">
      <alignment horizontal="center"/>
    </xf>
    <xf numFmtId="0" fontId="18" fillId="11" borderId="3" xfId="0" applyFont="1" applyFill="1" applyBorder="1" applyAlignment="1">
      <alignment horizontal="center"/>
    </xf>
    <xf numFmtId="0" fontId="18" fillId="15" borderId="3" xfId="0" applyFont="1" applyFill="1" applyBorder="1" applyAlignment="1">
      <alignment horizontal="center" vertical="top" wrapText="1"/>
    </xf>
    <xf numFmtId="0" fontId="18" fillId="17" borderId="3" xfId="0" applyFont="1" applyFill="1" applyBorder="1"/>
    <xf numFmtId="0" fontId="18" fillId="17" borderId="3" xfId="0" applyFont="1" applyFill="1" applyBorder="1" applyAlignment="1">
      <alignment horizontal="center"/>
    </xf>
    <xf numFmtId="0" fontId="17" fillId="13" borderId="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5" fillId="2" borderId="3" xfId="0" applyFont="1" applyFill="1" applyBorder="1"/>
    <xf numFmtId="0" fontId="11" fillId="13" borderId="3" xfId="0" applyFont="1" applyFill="1" applyBorder="1"/>
    <xf numFmtId="0" fontId="11" fillId="11" borderId="3" xfId="0" applyFont="1" applyFill="1" applyBorder="1"/>
    <xf numFmtId="0" fontId="8" fillId="2" borderId="3" xfId="0" applyFont="1" applyFill="1" applyBorder="1"/>
    <xf numFmtId="0" fontId="12" fillId="11" borderId="3" xfId="0" applyFont="1" applyFill="1" applyBorder="1"/>
    <xf numFmtId="0" fontId="5" fillId="2" borderId="3" xfId="0" applyFont="1" applyFill="1" applyBorder="1" applyAlignment="1">
      <alignment horizontal="justify"/>
    </xf>
    <xf numFmtId="0" fontId="12" fillId="13" borderId="3" xfId="0" applyFont="1" applyFill="1" applyBorder="1"/>
    <xf numFmtId="0" fontId="14" fillId="2" borderId="3" xfId="0" applyFont="1" applyFill="1" applyBorder="1"/>
    <xf numFmtId="0" fontId="7" fillId="2" borderId="3" xfId="0" applyFont="1" applyFill="1" applyBorder="1"/>
    <xf numFmtId="0" fontId="0" fillId="2" borderId="3" xfId="0" applyFont="1" applyFill="1" applyBorder="1"/>
    <xf numFmtId="0" fontId="0" fillId="20" borderId="3" xfId="0" applyFill="1" applyBorder="1"/>
    <xf numFmtId="0" fontId="0" fillId="21" borderId="3" xfId="0" applyFill="1" applyBorder="1"/>
    <xf numFmtId="0" fontId="18" fillId="2" borderId="3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/>
    </xf>
    <xf numFmtId="0" fontId="17" fillId="2" borderId="3" xfId="0" applyFont="1" applyFill="1" applyBorder="1"/>
    <xf numFmtId="0" fontId="0" fillId="13" borderId="0" xfId="0" applyFill="1"/>
    <xf numFmtId="0" fontId="19" fillId="10" borderId="3" xfId="0" applyFont="1" applyFill="1" applyBorder="1" applyAlignment="1">
      <alignment horizontal="center" vertical="top" wrapText="1"/>
    </xf>
    <xf numFmtId="0" fontId="19" fillId="10" borderId="3" xfId="0" applyFont="1" applyFill="1" applyBorder="1"/>
    <xf numFmtId="0" fontId="18" fillId="18" borderId="3" xfId="0" applyFont="1" applyFill="1" applyBorder="1" applyAlignment="1"/>
    <xf numFmtId="0" fontId="0" fillId="18" borderId="3" xfId="0" applyFill="1" applyBorder="1" applyAlignment="1"/>
    <xf numFmtId="0" fontId="18" fillId="18" borderId="3" xfId="0" applyFont="1" applyFill="1" applyBorder="1" applyAlignment="1">
      <alignment horizontal="center" vertical="top" wrapText="1"/>
    </xf>
    <xf numFmtId="0" fontId="18" fillId="18" borderId="3" xfId="0" applyFont="1" applyFill="1" applyBorder="1"/>
    <xf numFmtId="0" fontId="0" fillId="18" borderId="0" xfId="0" applyFill="1"/>
    <xf numFmtId="0" fontId="18" fillId="18" borderId="3" xfId="0" applyFont="1" applyFill="1" applyBorder="1" applyAlignment="1">
      <alignment horizontal="center"/>
    </xf>
    <xf numFmtId="2" fontId="11" fillId="4" borderId="3" xfId="0" applyNumberFormat="1" applyFont="1" applyFill="1" applyBorder="1"/>
    <xf numFmtId="0" fontId="32" fillId="0" borderId="0" xfId="0" applyFont="1"/>
    <xf numFmtId="0" fontId="32" fillId="15" borderId="3" xfId="0" applyFont="1" applyFill="1" applyBorder="1" applyAlignment="1">
      <alignment horizontal="center"/>
    </xf>
    <xf numFmtId="0" fontId="32" fillId="19" borderId="3" xfId="0" applyFont="1" applyFill="1" applyBorder="1" applyAlignment="1">
      <alignment horizontal="center"/>
    </xf>
    <xf numFmtId="0" fontId="32" fillId="5" borderId="3" xfId="0" applyFont="1" applyFill="1" applyBorder="1" applyAlignment="1">
      <alignment horizontal="center"/>
    </xf>
    <xf numFmtId="0" fontId="32" fillId="7" borderId="3" xfId="0" applyFont="1" applyFill="1" applyBorder="1" applyAlignment="1">
      <alignment horizontal="center"/>
    </xf>
    <xf numFmtId="0" fontId="32" fillId="22" borderId="3" xfId="0" applyFont="1" applyFill="1" applyBorder="1" applyAlignment="1">
      <alignment horizontal="center"/>
    </xf>
    <xf numFmtId="0" fontId="32" fillId="21" borderId="3" xfId="0" applyFont="1" applyFill="1" applyBorder="1" applyAlignment="1">
      <alignment horizontal="center"/>
    </xf>
    <xf numFmtId="0" fontId="32" fillId="15" borderId="3" xfId="0" applyFont="1" applyFill="1" applyBorder="1"/>
    <xf numFmtId="0" fontId="32" fillId="23" borderId="3" xfId="0" applyFont="1" applyFill="1" applyBorder="1"/>
    <xf numFmtId="0" fontId="32" fillId="24" borderId="3" xfId="0" applyFont="1" applyFill="1" applyBorder="1"/>
    <xf numFmtId="0" fontId="32" fillId="7" borderId="3" xfId="0" applyFont="1" applyFill="1" applyBorder="1"/>
    <xf numFmtId="0" fontId="32" fillId="0" borderId="3" xfId="0" applyFont="1" applyFill="1" applyBorder="1"/>
    <xf numFmtId="0" fontId="32" fillId="19" borderId="3" xfId="0" applyFont="1" applyFill="1" applyBorder="1"/>
    <xf numFmtId="0" fontId="32" fillId="5" borderId="3" xfId="0" applyFont="1" applyFill="1" applyBorder="1"/>
    <xf numFmtId="0" fontId="32" fillId="22" borderId="3" xfId="0" applyFont="1" applyFill="1" applyBorder="1"/>
    <xf numFmtId="0" fontId="32" fillId="21" borderId="3" xfId="0" applyFont="1" applyFill="1" applyBorder="1"/>
    <xf numFmtId="0" fontId="16" fillId="10" borderId="3" xfId="0" applyFont="1" applyFill="1" applyBorder="1"/>
    <xf numFmtId="0" fontId="32" fillId="10" borderId="3" xfId="0" applyFont="1" applyFill="1" applyBorder="1"/>
    <xf numFmtId="0" fontId="16" fillId="15" borderId="3" xfId="0" applyFont="1" applyFill="1" applyBorder="1"/>
    <xf numFmtId="0" fontId="16" fillId="19" borderId="3" xfId="0" applyFont="1" applyFill="1" applyBorder="1"/>
    <xf numFmtId="0" fontId="16" fillId="5" borderId="3" xfId="0" applyFont="1" applyFill="1" applyBorder="1"/>
    <xf numFmtId="0" fontId="16" fillId="7" borderId="3" xfId="0" applyFont="1" applyFill="1" applyBorder="1"/>
    <xf numFmtId="0" fontId="16" fillId="22" borderId="3" xfId="0" applyFont="1" applyFill="1" applyBorder="1"/>
    <xf numFmtId="0" fontId="16" fillId="21" borderId="3" xfId="0" applyFont="1" applyFill="1" applyBorder="1"/>
    <xf numFmtId="0" fontId="16" fillId="23" borderId="3" xfId="0" applyFont="1" applyFill="1" applyBorder="1"/>
    <xf numFmtId="0" fontId="16" fillId="24" borderId="3" xfId="0" applyFont="1" applyFill="1" applyBorder="1"/>
    <xf numFmtId="0" fontId="32" fillId="0" borderId="3" xfId="0" applyFont="1" applyBorder="1"/>
    <xf numFmtId="0" fontId="32" fillId="4" borderId="3" xfId="0" applyFont="1" applyFill="1" applyBorder="1"/>
    <xf numFmtId="0" fontId="4" fillId="0" borderId="3" xfId="0" applyFont="1" applyFill="1" applyBorder="1"/>
    <xf numFmtId="0" fontId="5" fillId="0" borderId="3" xfId="0" applyFont="1" applyFill="1" applyBorder="1" applyAlignment="1">
      <alignment horizontal="justify"/>
    </xf>
    <xf numFmtId="14" fontId="5" fillId="0" borderId="3" xfId="0" applyNumberFormat="1" applyFont="1" applyFill="1" applyBorder="1"/>
    <xf numFmtId="0" fontId="8" fillId="0" borderId="3" xfId="0" applyFont="1" applyFill="1" applyBorder="1" applyAlignment="1">
      <alignment horizontal="justify"/>
    </xf>
    <xf numFmtId="14" fontId="10" fillId="0" borderId="3" xfId="0" applyNumberFormat="1" applyFont="1" applyFill="1" applyBorder="1"/>
    <xf numFmtId="0" fontId="3" fillId="0" borderId="3" xfId="0" applyFont="1" applyFill="1" applyBorder="1"/>
    <xf numFmtId="0" fontId="8" fillId="10" borderId="3" xfId="0" applyFont="1" applyFill="1" applyBorder="1" applyAlignment="1">
      <alignment horizontal="justify"/>
    </xf>
    <xf numFmtId="0" fontId="10" fillId="10" borderId="3" xfId="0" applyFont="1" applyFill="1" applyBorder="1"/>
    <xf numFmtId="0" fontId="15" fillId="21" borderId="3" xfId="0" applyFont="1" applyFill="1" applyBorder="1"/>
    <xf numFmtId="0" fontId="15" fillId="20" borderId="3" xfId="0" applyFont="1" applyFill="1" applyBorder="1"/>
    <xf numFmtId="0" fontId="8" fillId="13" borderId="3" xfId="0" applyFont="1" applyFill="1" applyBorder="1"/>
    <xf numFmtId="0" fontId="15" fillId="13" borderId="3" xfId="0" applyFont="1" applyFill="1" applyBorder="1"/>
    <xf numFmtId="0" fontId="16" fillId="13" borderId="3" xfId="0" applyFont="1" applyFill="1" applyBorder="1"/>
    <xf numFmtId="2" fontId="16" fillId="13" borderId="3" xfId="0" applyNumberFormat="1" applyFont="1" applyFill="1" applyBorder="1"/>
    <xf numFmtId="0" fontId="29" fillId="10" borderId="3" xfId="0" applyFont="1" applyFill="1" applyBorder="1"/>
    <xf numFmtId="0" fontId="0" fillId="20" borderId="3" xfId="0" applyFill="1" applyBorder="1" applyAlignment="1">
      <alignment horizontal="center"/>
    </xf>
    <xf numFmtId="0" fontId="0" fillId="21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8" borderId="3" xfId="0" applyFill="1" applyBorder="1"/>
    <xf numFmtId="0" fontId="15" fillId="18" borderId="3" xfId="0" applyFont="1" applyFill="1" applyBorder="1"/>
    <xf numFmtId="0" fontId="15" fillId="8" borderId="3" xfId="0" applyFont="1" applyFill="1" applyBorder="1"/>
    <xf numFmtId="0" fontId="7" fillId="10" borderId="3" xfId="0" applyFont="1" applyFill="1" applyBorder="1"/>
    <xf numFmtId="0" fontId="11" fillId="15" borderId="3" xfId="0" applyFont="1" applyFill="1" applyBorder="1"/>
    <xf numFmtId="0" fontId="12" fillId="15" borderId="3" xfId="0" applyFont="1" applyFill="1" applyBorder="1"/>
    <xf numFmtId="0" fontId="25" fillId="0" borderId="0" xfId="0" applyFont="1"/>
    <xf numFmtId="0" fontId="25" fillId="5" borderId="3" xfId="0" applyFont="1" applyFill="1" applyBorder="1"/>
    <xf numFmtId="0" fontId="25" fillId="13" borderId="3" xfId="0" applyFont="1" applyFill="1" applyBorder="1"/>
    <xf numFmtId="0" fontId="25" fillId="21" borderId="3" xfId="0" applyFont="1" applyFill="1" applyBorder="1"/>
    <xf numFmtId="0" fontId="27" fillId="10" borderId="3" xfId="0" applyFont="1" applyFill="1" applyBorder="1"/>
    <xf numFmtId="0" fontId="25" fillId="10" borderId="3" xfId="0" applyFont="1" applyFill="1" applyBorder="1"/>
    <xf numFmtId="0" fontId="27" fillId="0" borderId="0" xfId="0" applyFont="1"/>
    <xf numFmtId="0" fontId="9" fillId="13" borderId="3" xfId="0" applyFont="1" applyFill="1" applyBorder="1"/>
    <xf numFmtId="0" fontId="32" fillId="13" borderId="3" xfId="0" applyFont="1" applyFill="1" applyBorder="1"/>
    <xf numFmtId="0" fontId="10" fillId="13" borderId="3" xfId="0" applyFont="1" applyFill="1" applyBorder="1"/>
    <xf numFmtId="0" fontId="2" fillId="13" borderId="3" xfId="0" applyFont="1" applyFill="1" applyBorder="1"/>
    <xf numFmtId="0" fontId="24" fillId="13" borderId="3" xfId="0" applyFont="1" applyFill="1" applyBorder="1"/>
    <xf numFmtId="0" fontId="33" fillId="13" borderId="3" xfId="0" applyFont="1" applyFill="1" applyBorder="1"/>
    <xf numFmtId="0" fontId="32" fillId="15" borderId="3" xfId="0" applyFont="1" applyFill="1" applyBorder="1" applyAlignment="1">
      <alignment wrapText="1"/>
    </xf>
    <xf numFmtId="0" fontId="32" fillId="25" borderId="3" xfId="0" applyFont="1" applyFill="1" applyBorder="1" applyAlignment="1">
      <alignment wrapText="1"/>
    </xf>
    <xf numFmtId="0" fontId="32" fillId="25" borderId="3" xfId="0" applyFont="1" applyFill="1" applyBorder="1"/>
    <xf numFmtId="0" fontId="32" fillId="16" borderId="3" xfId="0" applyFont="1" applyFill="1" applyBorder="1"/>
    <xf numFmtId="0" fontId="34" fillId="16" borderId="3" xfId="0" applyFont="1" applyFill="1" applyBorder="1" applyAlignment="1">
      <alignment horizontal="center" vertical="top" wrapText="1"/>
    </xf>
    <xf numFmtId="0" fontId="16" fillId="16" borderId="3" xfId="0" applyFont="1" applyFill="1" applyBorder="1"/>
    <xf numFmtId="0" fontId="16" fillId="10" borderId="10" xfId="0" applyFont="1" applyFill="1" applyBorder="1"/>
    <xf numFmtId="0" fontId="16" fillId="13" borderId="10" xfId="0" applyFont="1" applyFill="1" applyBorder="1"/>
    <xf numFmtId="0" fontId="29" fillId="10" borderId="10" xfId="0" applyFont="1" applyFill="1" applyBorder="1"/>
    <xf numFmtId="0" fontId="0" fillId="0" borderId="12" xfId="0" applyBorder="1"/>
    <xf numFmtId="0" fontId="0" fillId="10" borderId="12" xfId="0" applyFill="1" applyBorder="1"/>
    <xf numFmtId="0" fontId="0" fillId="13" borderId="12" xfId="0" applyFill="1" applyBorder="1"/>
    <xf numFmtId="0" fontId="15" fillId="10" borderId="12" xfId="0" applyFont="1" applyFill="1" applyBorder="1"/>
    <xf numFmtId="0" fontId="15" fillId="13" borderId="12" xfId="0" applyFont="1" applyFill="1" applyBorder="1"/>
    <xf numFmtId="0" fontId="0" fillId="0" borderId="0" xfId="0" applyFill="1"/>
    <xf numFmtId="0" fontId="32" fillId="0" borderId="15" xfId="0" applyFont="1" applyFill="1" applyBorder="1" applyAlignment="1">
      <alignment wrapText="1"/>
    </xf>
    <xf numFmtId="0" fontId="0" fillId="10" borderId="13" xfId="0" applyFill="1" applyBorder="1"/>
    <xf numFmtId="0" fontId="0" fillId="13" borderId="13" xfId="0" applyFill="1" applyBorder="1"/>
    <xf numFmtId="0" fontId="0" fillId="26" borderId="12" xfId="0" applyFill="1" applyBorder="1"/>
    <xf numFmtId="0" fontId="0" fillId="18" borderId="12" xfId="0" applyFill="1" applyBorder="1"/>
    <xf numFmtId="0" fontId="0" fillId="27" borderId="12" xfId="0" applyFill="1" applyBorder="1" applyAlignment="1">
      <alignment horizontal="center" wrapText="1"/>
    </xf>
    <xf numFmtId="0" fontId="0" fillId="27" borderId="12" xfId="0" applyFill="1" applyBorder="1"/>
    <xf numFmtId="0" fontId="32" fillId="12" borderId="4" xfId="0" applyFont="1" applyFill="1" applyBorder="1" applyAlignment="1">
      <alignment wrapText="1"/>
    </xf>
    <xf numFmtId="0" fontId="0" fillId="12" borderId="13" xfId="0" applyFill="1" applyBorder="1"/>
    <xf numFmtId="0" fontId="18" fillId="17" borderId="10" xfId="0" applyFont="1" applyFill="1" applyBorder="1"/>
    <xf numFmtId="0" fontId="19" fillId="10" borderId="10" xfId="0" applyFont="1" applyFill="1" applyBorder="1"/>
    <xf numFmtId="0" fontId="19" fillId="10" borderId="10" xfId="0" applyFont="1" applyFill="1" applyBorder="1" applyAlignment="1">
      <alignment horizontal="center" vertical="top" wrapText="1"/>
    </xf>
    <xf numFmtId="0" fontId="18" fillId="18" borderId="10" xfId="0" applyFont="1" applyFill="1" applyBorder="1"/>
    <xf numFmtId="0" fontId="0" fillId="0" borderId="16" xfId="0" applyBorder="1"/>
    <xf numFmtId="0" fontId="0" fillId="0" borderId="12" xfId="0" applyBorder="1" applyAlignment="1">
      <alignment horizontal="center"/>
    </xf>
    <xf numFmtId="0" fontId="11" fillId="15" borderId="10" xfId="0" applyFont="1" applyFill="1" applyBorder="1"/>
    <xf numFmtId="0" fontId="12" fillId="10" borderId="10" xfId="0" applyFont="1" applyFill="1" applyBorder="1"/>
    <xf numFmtId="0" fontId="12" fillId="15" borderId="10" xfId="0" applyFont="1" applyFill="1" applyBorder="1"/>
    <xf numFmtId="164" fontId="11" fillId="4" borderId="10" xfId="0" applyNumberFormat="1" applyFont="1" applyFill="1" applyBorder="1"/>
    <xf numFmtId="2" fontId="11" fillId="4" borderId="10" xfId="0" applyNumberFormat="1" applyFont="1" applyFill="1" applyBorder="1"/>
    <xf numFmtId="164" fontId="26" fillId="10" borderId="10" xfId="0" applyNumberFormat="1" applyFont="1" applyFill="1" applyBorder="1"/>
    <xf numFmtId="164" fontId="12" fillId="4" borderId="10" xfId="0" applyNumberFormat="1" applyFont="1" applyFill="1" applyBorder="1"/>
    <xf numFmtId="164" fontId="12" fillId="10" borderId="10" xfId="0" applyNumberFormat="1" applyFont="1" applyFill="1" applyBorder="1"/>
    <xf numFmtId="0" fontId="15" fillId="10" borderId="10" xfId="0" applyFont="1" applyFill="1" applyBorder="1"/>
    <xf numFmtId="164" fontId="13" fillId="4" borderId="10" xfId="0" applyNumberFormat="1" applyFont="1" applyFill="1" applyBorder="1"/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1" fillId="4" borderId="3" xfId="0" applyFont="1" applyFill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15" borderId="3" xfId="0" applyFont="1" applyFill="1" applyBorder="1" applyAlignment="1">
      <alignment horizontal="center" vertical="top" wrapText="1"/>
    </xf>
    <xf numFmtId="0" fontId="11" fillId="15" borderId="10" xfId="0" applyFont="1" applyFill="1" applyBorder="1" applyAlignment="1">
      <alignment horizontal="center" vertical="top" wrapText="1"/>
    </xf>
    <xf numFmtId="0" fontId="25" fillId="5" borderId="3" xfId="0" applyFont="1" applyFill="1" applyBorder="1" applyAlignment="1">
      <alignment horizontal="center" vertical="top" wrapText="1"/>
    </xf>
    <xf numFmtId="0" fontId="25" fillId="13" borderId="3" xfId="0" applyFont="1" applyFill="1" applyBorder="1" applyAlignment="1">
      <alignment horizontal="center" vertical="top" wrapText="1"/>
    </xf>
    <xf numFmtId="0" fontId="25" fillId="21" borderId="4" xfId="0" applyFont="1" applyFill="1" applyBorder="1" applyAlignment="1">
      <alignment horizontal="center" vertical="top" wrapText="1"/>
    </xf>
    <xf numFmtId="0" fontId="25" fillId="21" borderId="5" xfId="0" applyFont="1" applyFill="1" applyBorder="1" applyAlignment="1">
      <alignment horizontal="center" vertical="top" wrapText="1"/>
    </xf>
    <xf numFmtId="0" fontId="25" fillId="21" borderId="6" xfId="0" applyFont="1" applyFill="1" applyBorder="1" applyAlignment="1">
      <alignment horizontal="center" vertical="top" wrapText="1"/>
    </xf>
    <xf numFmtId="0" fontId="25" fillId="21" borderId="7" xfId="0" applyFont="1" applyFill="1" applyBorder="1" applyAlignment="1">
      <alignment horizontal="center" vertical="top" wrapText="1"/>
    </xf>
    <xf numFmtId="0" fontId="11" fillId="13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horizontal="center" wrapText="1"/>
    </xf>
    <xf numFmtId="0" fontId="21" fillId="19" borderId="3" xfId="0" applyFont="1" applyFill="1" applyBorder="1" applyAlignment="1">
      <alignment horizontal="center" wrapText="1"/>
    </xf>
    <xf numFmtId="0" fontId="21" fillId="5" borderId="3" xfId="0" applyFont="1" applyFill="1" applyBorder="1" applyAlignment="1">
      <alignment horizontal="center" vertical="top" wrapText="1"/>
    </xf>
    <xf numFmtId="0" fontId="21" fillId="7" borderId="3" xfId="0" applyFont="1" applyFill="1" applyBorder="1" applyAlignment="1">
      <alignment horizontal="center" vertical="top" wrapText="1"/>
    </xf>
    <xf numFmtId="0" fontId="21" fillId="22" borderId="3" xfId="0" applyFont="1" applyFill="1" applyBorder="1" applyAlignment="1">
      <alignment horizontal="center" vertical="top" wrapText="1"/>
    </xf>
    <xf numFmtId="0" fontId="21" fillId="21" borderId="3" xfId="0" applyFont="1" applyFill="1" applyBorder="1" applyAlignment="1">
      <alignment vertical="top" wrapText="1"/>
    </xf>
    <xf numFmtId="0" fontId="33" fillId="7" borderId="3" xfId="0" applyFont="1" applyFill="1" applyBorder="1" applyAlignment="1">
      <alignment horizontal="fill" wrapText="1"/>
    </xf>
    <xf numFmtId="0" fontId="32" fillId="7" borderId="3" xfId="0" applyFont="1" applyFill="1" applyBorder="1" applyAlignment="1">
      <alignment horizontal="fill" wrapText="1"/>
    </xf>
    <xf numFmtId="0" fontId="21" fillId="15" borderId="3" xfId="0" applyFont="1" applyFill="1" applyBorder="1" applyAlignment="1">
      <alignment horizontal="center" wrapText="1"/>
    </xf>
    <xf numFmtId="0" fontId="23" fillId="20" borderId="3" xfId="0" applyFont="1" applyFill="1" applyBorder="1" applyAlignment="1">
      <alignment horizontal="center" wrapText="1"/>
    </xf>
    <xf numFmtId="0" fontId="23" fillId="21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23" fillId="18" borderId="3" xfId="0" applyFont="1" applyFill="1" applyBorder="1" applyAlignment="1">
      <alignment horizontal="center" wrapText="1"/>
    </xf>
    <xf numFmtId="0" fontId="23" fillId="8" borderId="10" xfId="0" applyFont="1" applyFill="1" applyBorder="1" applyAlignment="1">
      <alignment horizontal="center" wrapText="1"/>
    </xf>
    <xf numFmtId="0" fontId="23" fillId="8" borderId="11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2" fillId="15" borderId="3" xfId="0" applyFont="1" applyFill="1" applyBorder="1" applyAlignment="1">
      <alignment horizontal="center" wrapText="1"/>
    </xf>
    <xf numFmtId="0" fontId="32" fillId="23" borderId="3" xfId="0" applyFont="1" applyFill="1" applyBorder="1" applyAlignment="1">
      <alignment horizontal="center" vertical="top" wrapText="1"/>
    </xf>
    <xf numFmtId="0" fontId="32" fillId="24" borderId="3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/>
    </xf>
    <xf numFmtId="0" fontId="32" fillId="4" borderId="10" xfId="0" applyFont="1" applyFill="1" applyBorder="1" applyAlignment="1">
      <alignment horizontal="center" wrapText="1"/>
    </xf>
    <xf numFmtId="0" fontId="32" fillId="4" borderId="11" xfId="0" applyFont="1" applyFill="1" applyBorder="1" applyAlignment="1">
      <alignment horizontal="center" wrapText="1"/>
    </xf>
    <xf numFmtId="0" fontId="32" fillId="5" borderId="3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0" fillId="11" borderId="4" xfId="0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2" fontId="11" fillId="9" borderId="3" xfId="0" applyNumberFormat="1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2" fontId="11" fillId="3" borderId="3" xfId="0" applyNumberFormat="1" applyFont="1" applyFill="1" applyBorder="1" applyAlignment="1">
      <alignment horizontal="center" wrapText="1"/>
    </xf>
    <xf numFmtId="2" fontId="11" fillId="4" borderId="3" xfId="0" applyNumberFormat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vertical="top" wrapText="1"/>
    </xf>
    <xf numFmtId="0" fontId="11" fillId="7" borderId="3" xfId="0" applyFont="1" applyFill="1" applyBorder="1" applyAlignment="1">
      <alignment vertical="top" wrapText="1"/>
    </xf>
    <xf numFmtId="0" fontId="0" fillId="8" borderId="3" xfId="0" applyFill="1" applyBorder="1" applyAlignment="1">
      <alignment horizontal="center" vertical="top" wrapText="1"/>
    </xf>
    <xf numFmtId="0" fontId="0" fillId="9" borderId="3" xfId="0" applyFill="1" applyBorder="1" applyAlignment="1">
      <alignment horizontal="center" vertical="top" wrapText="1"/>
    </xf>
    <xf numFmtId="0" fontId="18" fillId="17" borderId="3" xfId="0" applyFont="1" applyFill="1" applyBorder="1" applyAlignment="1">
      <alignment vertical="top" wrapText="1"/>
    </xf>
    <xf numFmtId="0" fontId="18" fillId="17" borderId="10" xfId="0" applyFont="1" applyFill="1" applyBorder="1" applyAlignment="1">
      <alignment vertical="top" wrapText="1"/>
    </xf>
    <xf numFmtId="0" fontId="18" fillId="13" borderId="3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vertical="top" wrapText="1"/>
    </xf>
    <xf numFmtId="0" fontId="19" fillId="10" borderId="3" xfId="0" applyFont="1" applyFill="1" applyBorder="1" applyAlignment="1"/>
    <xf numFmtId="0" fontId="18" fillId="5" borderId="3" xfId="0" applyFont="1" applyFill="1" applyBorder="1" applyAlignment="1"/>
    <xf numFmtId="0" fontId="0" fillId="5" borderId="3" xfId="0" applyFill="1" applyBorder="1" applyAlignment="1"/>
    <xf numFmtId="0" fontId="0" fillId="10" borderId="3" xfId="0" applyFill="1" applyBorder="1" applyAlignment="1"/>
    <xf numFmtId="0" fontId="20" fillId="10" borderId="3" xfId="0" applyFont="1" applyFill="1" applyBorder="1" applyAlignment="1"/>
    <xf numFmtId="0" fontId="18" fillId="5" borderId="3" xfId="0" applyFont="1" applyFill="1" applyBorder="1" applyAlignment="1">
      <alignment vertical="top" wrapText="1"/>
    </xf>
    <xf numFmtId="0" fontId="30" fillId="5" borderId="3" xfId="0" applyFont="1" applyFill="1" applyBorder="1" applyAlignment="1"/>
    <xf numFmtId="0" fontId="31" fillId="5" borderId="3" xfId="0" applyFont="1" applyFill="1" applyBorder="1" applyAlignment="1"/>
    <xf numFmtId="0" fontId="22" fillId="4" borderId="3" xfId="0" applyFont="1" applyFill="1" applyBorder="1" applyAlignment="1"/>
    <xf numFmtId="0" fontId="22" fillId="7" borderId="3" xfId="0" applyFont="1" applyFill="1" applyBorder="1" applyAlignment="1"/>
    <xf numFmtId="0" fontId="22" fillId="13" borderId="3" xfId="0" applyFont="1" applyFill="1" applyBorder="1" applyAlignment="1"/>
    <xf numFmtId="0" fontId="18" fillId="5" borderId="3" xfId="0" applyFont="1" applyFill="1" applyBorder="1" applyAlignment="1">
      <alignment vertical="top"/>
    </xf>
    <xf numFmtId="0" fontId="22" fillId="14" borderId="3" xfId="0" applyFont="1" applyFill="1" applyBorder="1" applyAlignment="1">
      <alignment horizontal="center"/>
    </xf>
    <xf numFmtId="0" fontId="22" fillId="15" borderId="3" xfId="0" applyFont="1" applyFill="1" applyBorder="1" applyAlignment="1">
      <alignment horizontal="center"/>
    </xf>
    <xf numFmtId="0" fontId="17" fillId="16" borderId="3" xfId="0" applyFont="1" applyFill="1" applyBorder="1" applyAlignment="1">
      <alignment vertical="top" wrapText="1"/>
    </xf>
    <xf numFmtId="0" fontId="17" fillId="5" borderId="3" xfId="0" applyFont="1" applyFill="1" applyBorder="1" applyAlignment="1">
      <alignment vertical="top" wrapText="1"/>
    </xf>
    <xf numFmtId="0" fontId="18" fillId="12" borderId="3" xfId="0" applyFont="1" applyFill="1" applyBorder="1" applyAlignment="1">
      <alignment vertical="top" wrapText="1"/>
    </xf>
    <xf numFmtId="0" fontId="18" fillId="11" borderId="3" xfId="0" applyFont="1" applyFill="1" applyBorder="1" applyAlignment="1">
      <alignment horizontal="center" vertical="top" wrapText="1"/>
    </xf>
    <xf numFmtId="0" fontId="17" fillId="15" borderId="3" xfId="0" applyFont="1" applyFill="1" applyBorder="1" applyAlignment="1">
      <alignment vertical="top" wrapText="1"/>
    </xf>
    <xf numFmtId="0" fontId="18" fillId="3" borderId="3" xfId="0" applyFont="1" applyFill="1" applyBorder="1" applyAlignment="1">
      <alignment horizontal="center" vertical="top" wrapText="1"/>
    </xf>
    <xf numFmtId="2" fontId="13" fillId="4" borderId="3" xfId="0" applyNumberFormat="1" applyFont="1" applyFill="1" applyBorder="1"/>
    <xf numFmtId="164" fontId="11" fillId="4" borderId="12" xfId="0" applyNumberFormat="1" applyFont="1" applyFill="1" applyBorder="1"/>
    <xf numFmtId="2" fontId="11" fillId="4" borderId="12" xfId="0" applyNumberFormat="1" applyFont="1" applyFill="1" applyBorder="1"/>
    <xf numFmtId="164" fontId="26" fillId="10" borderId="12" xfId="0" applyNumberFormat="1" applyFont="1" applyFill="1" applyBorder="1"/>
    <xf numFmtId="164" fontId="12" fillId="4" borderId="12" xfId="0" applyNumberFormat="1" applyFont="1" applyFill="1" applyBorder="1"/>
    <xf numFmtId="164" fontId="12" fillId="10" borderId="12" xfId="0" applyNumberFormat="1" applyFont="1" applyFill="1" applyBorder="1"/>
    <xf numFmtId="164" fontId="0" fillId="0" borderId="12" xfId="0" applyNumberFormat="1" applyBorder="1"/>
    <xf numFmtId="164" fontId="13" fillId="4" borderId="12" xfId="0" applyNumberFormat="1" applyFont="1" applyFill="1" applyBorder="1"/>
    <xf numFmtId="0" fontId="11" fillId="4" borderId="8" xfId="0" applyFont="1" applyFill="1" applyBorder="1" applyAlignment="1">
      <alignment horizontal="center" vertical="top" wrapText="1"/>
    </xf>
    <xf numFmtId="0" fontId="11" fillId="4" borderId="17" xfId="0" applyFont="1" applyFill="1" applyBorder="1" applyAlignment="1">
      <alignment horizontal="center" vertical="top" wrapText="1"/>
    </xf>
    <xf numFmtId="2" fontId="15" fillId="10" borderId="12" xfId="0" applyNumberFormat="1" applyFont="1" applyFill="1" applyBorder="1"/>
    <xf numFmtId="164" fontId="15" fillId="10" borderId="12" xfId="0" applyNumberFormat="1" applyFont="1" applyFill="1" applyBorder="1"/>
    <xf numFmtId="0" fontId="2" fillId="28" borderId="3" xfId="0" applyFont="1" applyFill="1" applyBorder="1" applyAlignment="1">
      <alignment horizontal="center"/>
    </xf>
    <xf numFmtId="0" fontId="0" fillId="28" borderId="3" xfId="0" applyFill="1" applyBorder="1" applyAlignment="1">
      <alignment horizontal="center"/>
    </xf>
    <xf numFmtId="0" fontId="0" fillId="28" borderId="3" xfId="0" applyFill="1" applyBorder="1"/>
    <xf numFmtId="0" fontId="15" fillId="28" borderId="3" xfId="0" applyFont="1" applyFill="1" applyBorder="1"/>
    <xf numFmtId="0" fontId="2" fillId="12" borderId="3" xfId="0" applyFon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3" xfId="0" applyFill="1" applyBorder="1"/>
    <xf numFmtId="0" fontId="15" fillId="12" borderId="3" xfId="0" applyFont="1" applyFill="1" applyBorder="1"/>
    <xf numFmtId="0" fontId="33" fillId="28" borderId="3" xfId="0" applyFont="1" applyFill="1" applyBorder="1" applyAlignment="1">
      <alignment horizontal="center"/>
    </xf>
    <xf numFmtId="0" fontId="32" fillId="28" borderId="3" xfId="0" applyFont="1" applyFill="1" applyBorder="1" applyAlignment="1">
      <alignment horizontal="center"/>
    </xf>
    <xf numFmtId="0" fontId="32" fillId="28" borderId="3" xfId="0" applyFont="1" applyFill="1" applyBorder="1"/>
    <xf numFmtId="0" fontId="16" fillId="28" borderId="3" xfId="0" applyFont="1" applyFill="1" applyBorder="1"/>
    <xf numFmtId="0" fontId="16" fillId="28" borderId="3" xfId="0" applyFont="1" applyFill="1" applyBorder="1" applyAlignment="1">
      <alignment horizontal="center"/>
    </xf>
    <xf numFmtId="0" fontId="16" fillId="28" borderId="10" xfId="0" applyFont="1" applyFill="1" applyBorder="1" applyAlignment="1">
      <alignment horizontal="center"/>
    </xf>
    <xf numFmtId="0" fontId="32" fillId="28" borderId="10" xfId="0" applyFont="1" applyFill="1" applyBorder="1"/>
    <xf numFmtId="0" fontId="32" fillId="15" borderId="15" xfId="0" applyFont="1" applyFill="1" applyBorder="1" applyAlignment="1">
      <alignment horizontal="center" wrapText="1"/>
    </xf>
    <xf numFmtId="0" fontId="0" fillId="15" borderId="12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"/>
  <sheetViews>
    <sheetView workbookViewId="0">
      <pane xSplit="1" ySplit="4" topLeftCell="AF23" activePane="bottomRight" state="frozen"/>
      <selection pane="topRight" activeCell="B1" sqref="B1"/>
      <selection pane="bottomLeft" activeCell="A5" sqref="A5"/>
      <selection pane="bottomRight" activeCell="AW35" sqref="AW35"/>
    </sheetView>
  </sheetViews>
  <sheetFormatPr defaultRowHeight="15" x14ac:dyDescent="0.25"/>
  <cols>
    <col min="1" max="1" width="25.42578125" customWidth="1"/>
    <col min="2" max="2" width="10.140625" customWidth="1"/>
    <col min="12" max="12" width="10.140625" customWidth="1"/>
    <col min="13" max="13" width="9" customWidth="1"/>
    <col min="14" max="15" width="6.5703125" customWidth="1"/>
    <col min="16" max="16" width="8.5703125" customWidth="1"/>
    <col min="17" max="17" width="9.7109375" customWidth="1"/>
    <col min="18" max="18" width="7.140625" customWidth="1"/>
    <col min="19" max="19" width="8.7109375" customWidth="1"/>
    <col min="20" max="20" width="7.85546875" customWidth="1"/>
    <col min="21" max="21" width="8.7109375" customWidth="1"/>
    <col min="22" max="22" width="8.5703125" customWidth="1"/>
    <col min="23" max="23" width="8.7109375" customWidth="1"/>
    <col min="24" max="24" width="7.5703125" customWidth="1"/>
    <col min="25" max="25" width="9" customWidth="1"/>
    <col min="26" max="26" width="8" customWidth="1"/>
    <col min="27" max="27" width="8.28515625" customWidth="1"/>
    <col min="28" max="33" width="9.140625" style="194"/>
    <col min="34" max="34" width="9.140625" customWidth="1"/>
    <col min="35" max="36" width="9.5703125" customWidth="1"/>
    <col min="37" max="37" width="10.5703125" customWidth="1"/>
    <col min="38" max="38" width="8" customWidth="1"/>
    <col min="39" max="39" width="8.28515625" customWidth="1"/>
    <col min="40" max="40" width="8" customWidth="1"/>
    <col min="41" max="41" width="8.28515625" customWidth="1"/>
  </cols>
  <sheetData>
    <row r="1" spans="1:52" ht="29.25" customHeight="1" thickBot="1" x14ac:dyDescent="0.3">
      <c r="A1" s="115" t="s">
        <v>299</v>
      </c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</row>
    <row r="2" spans="1:52" ht="15" customHeight="1" thickBot="1" x14ac:dyDescent="0.3">
      <c r="A2" s="116" t="s">
        <v>73</v>
      </c>
      <c r="B2" s="263" t="s">
        <v>188</v>
      </c>
      <c r="C2" s="263"/>
      <c r="D2" s="263"/>
      <c r="E2" s="263"/>
      <c r="F2" s="264" t="s">
        <v>111</v>
      </c>
      <c r="G2" s="264"/>
      <c r="H2" s="265"/>
      <c r="I2" s="265"/>
      <c r="J2" s="262" t="s">
        <v>183</v>
      </c>
      <c r="K2" s="262"/>
      <c r="L2" s="263" t="s">
        <v>208</v>
      </c>
      <c r="M2" s="263"/>
      <c r="N2" s="263"/>
      <c r="O2" s="263"/>
      <c r="P2" s="266" t="s">
        <v>111</v>
      </c>
      <c r="Q2" s="266"/>
      <c r="R2" s="265"/>
      <c r="S2" s="265"/>
      <c r="T2" s="262" t="s">
        <v>183</v>
      </c>
      <c r="U2" s="262"/>
      <c r="V2" s="251" t="s">
        <v>209</v>
      </c>
      <c r="W2" s="251"/>
      <c r="X2" s="251" t="s">
        <v>210</v>
      </c>
      <c r="Y2" s="251"/>
      <c r="Z2" s="253" t="s">
        <v>201</v>
      </c>
      <c r="AA2" s="253"/>
      <c r="AB2" s="256" t="s">
        <v>211</v>
      </c>
      <c r="AC2" s="256"/>
      <c r="AD2" s="257" t="s">
        <v>183</v>
      </c>
      <c r="AE2" s="257"/>
      <c r="AF2" s="258" t="s">
        <v>227</v>
      </c>
      <c r="AG2" s="259"/>
      <c r="AH2" s="251" t="s">
        <v>214</v>
      </c>
      <c r="AI2" s="251"/>
      <c r="AJ2" s="252" t="s">
        <v>215</v>
      </c>
      <c r="AK2" s="252"/>
      <c r="AL2" s="253" t="s">
        <v>252</v>
      </c>
      <c r="AM2" s="253"/>
      <c r="AN2" s="254" t="s">
        <v>253</v>
      </c>
      <c r="AO2" s="254"/>
      <c r="AP2" s="251" t="s">
        <v>289</v>
      </c>
      <c r="AQ2" s="251"/>
      <c r="AR2" s="252" t="s">
        <v>290</v>
      </c>
      <c r="AS2" s="252"/>
      <c r="AT2" s="253" t="s">
        <v>291</v>
      </c>
      <c r="AU2" s="253"/>
      <c r="AV2" s="254" t="s">
        <v>274</v>
      </c>
      <c r="AW2" s="255"/>
      <c r="AX2" s="247" t="s">
        <v>292</v>
      </c>
      <c r="AY2" s="247" t="s">
        <v>293</v>
      </c>
      <c r="AZ2" s="249" t="s">
        <v>297</v>
      </c>
    </row>
    <row r="3" spans="1:52" ht="30" customHeight="1" thickBot="1" x14ac:dyDescent="0.3">
      <c r="A3" s="116"/>
      <c r="B3" s="263" t="s">
        <v>189</v>
      </c>
      <c r="C3" s="263"/>
      <c r="D3" s="263" t="s">
        <v>110</v>
      </c>
      <c r="E3" s="263"/>
      <c r="F3" s="264"/>
      <c r="G3" s="264"/>
      <c r="H3" s="265" t="s">
        <v>190</v>
      </c>
      <c r="I3" s="265"/>
      <c r="J3" s="262"/>
      <c r="K3" s="262"/>
      <c r="L3" s="263" t="s">
        <v>212</v>
      </c>
      <c r="M3" s="263"/>
      <c r="N3" s="263" t="s">
        <v>110</v>
      </c>
      <c r="O3" s="263"/>
      <c r="P3" s="266"/>
      <c r="Q3" s="266"/>
      <c r="R3" s="265" t="s">
        <v>190</v>
      </c>
      <c r="S3" s="265"/>
      <c r="T3" s="262"/>
      <c r="U3" s="262"/>
      <c r="V3" s="251"/>
      <c r="W3" s="251"/>
      <c r="X3" s="251"/>
      <c r="Y3" s="251"/>
      <c r="Z3" s="253"/>
      <c r="AA3" s="253"/>
      <c r="AB3" s="256"/>
      <c r="AC3" s="256"/>
      <c r="AD3" s="257"/>
      <c r="AE3" s="257"/>
      <c r="AF3" s="260"/>
      <c r="AG3" s="261"/>
      <c r="AH3" s="251"/>
      <c r="AI3" s="251"/>
      <c r="AJ3" s="252"/>
      <c r="AK3" s="252"/>
      <c r="AL3" s="253"/>
      <c r="AM3" s="253"/>
      <c r="AN3" s="254"/>
      <c r="AO3" s="254"/>
      <c r="AP3" s="251"/>
      <c r="AQ3" s="251"/>
      <c r="AR3" s="252"/>
      <c r="AS3" s="252"/>
      <c r="AT3" s="253"/>
      <c r="AU3" s="253"/>
      <c r="AV3" s="254"/>
      <c r="AW3" s="255"/>
      <c r="AX3" s="248"/>
      <c r="AY3" s="248"/>
      <c r="AZ3" s="250"/>
    </row>
    <row r="4" spans="1:52" ht="15.75" thickBot="1" x14ac:dyDescent="0.3">
      <c r="A4" s="116"/>
      <c r="B4" s="5" t="s">
        <v>112</v>
      </c>
      <c r="C4" s="5" t="s">
        <v>79</v>
      </c>
      <c r="D4" s="5" t="s">
        <v>112</v>
      </c>
      <c r="E4" s="5" t="s">
        <v>79</v>
      </c>
      <c r="F4" s="8" t="s">
        <v>112</v>
      </c>
      <c r="G4" s="8" t="s">
        <v>79</v>
      </c>
      <c r="H4" s="6" t="s">
        <v>112</v>
      </c>
      <c r="I4" s="6" t="s">
        <v>79</v>
      </c>
      <c r="J4" s="117" t="s">
        <v>191</v>
      </c>
      <c r="K4" s="117" t="s">
        <v>192</v>
      </c>
      <c r="L4" s="5" t="s">
        <v>112</v>
      </c>
      <c r="M4" s="5" t="s">
        <v>79</v>
      </c>
      <c r="N4" s="5" t="s">
        <v>112</v>
      </c>
      <c r="O4" s="5" t="s">
        <v>79</v>
      </c>
      <c r="P4" s="118" t="s">
        <v>112</v>
      </c>
      <c r="Q4" s="118" t="s">
        <v>79</v>
      </c>
      <c r="R4" s="6" t="s">
        <v>112</v>
      </c>
      <c r="S4" s="6" t="s">
        <v>79</v>
      </c>
      <c r="T4" s="117" t="s">
        <v>191</v>
      </c>
      <c r="U4" s="117" t="s">
        <v>192</v>
      </c>
      <c r="V4" s="5" t="s">
        <v>213</v>
      </c>
      <c r="W4" s="5" t="s">
        <v>192</v>
      </c>
      <c r="X4" s="5" t="s">
        <v>191</v>
      </c>
      <c r="Y4" s="5" t="s">
        <v>192</v>
      </c>
      <c r="Z4" s="4" t="s">
        <v>191</v>
      </c>
      <c r="AA4" s="4" t="s">
        <v>192</v>
      </c>
      <c r="AB4" s="195" t="s">
        <v>191</v>
      </c>
      <c r="AC4" s="195" t="s">
        <v>192</v>
      </c>
      <c r="AD4" s="196" t="s">
        <v>191</v>
      </c>
      <c r="AE4" s="196" t="s">
        <v>192</v>
      </c>
      <c r="AF4" s="197" t="s">
        <v>228</v>
      </c>
      <c r="AG4" s="197" t="s">
        <v>229</v>
      </c>
      <c r="AH4" s="5" t="s">
        <v>191</v>
      </c>
      <c r="AI4" s="5" t="s">
        <v>192</v>
      </c>
      <c r="AJ4" s="8" t="s">
        <v>191</v>
      </c>
      <c r="AK4" s="8" t="s">
        <v>192</v>
      </c>
      <c r="AL4" s="4" t="s">
        <v>191</v>
      </c>
      <c r="AM4" s="4" t="s">
        <v>192</v>
      </c>
      <c r="AN4" s="192" t="s">
        <v>191</v>
      </c>
      <c r="AO4" s="192" t="s">
        <v>192</v>
      </c>
      <c r="AP4" s="5" t="s">
        <v>191</v>
      </c>
      <c r="AQ4" s="5" t="s">
        <v>192</v>
      </c>
      <c r="AR4" s="8" t="s">
        <v>191</v>
      </c>
      <c r="AS4" s="8" t="s">
        <v>192</v>
      </c>
      <c r="AT4" s="4" t="s">
        <v>191</v>
      </c>
      <c r="AU4" s="4" t="s">
        <v>192</v>
      </c>
      <c r="AV4" s="192" t="s">
        <v>191</v>
      </c>
      <c r="AW4" s="237" t="s">
        <v>192</v>
      </c>
      <c r="AX4" s="216" t="s">
        <v>288</v>
      </c>
      <c r="AY4" s="216" t="s">
        <v>288</v>
      </c>
      <c r="AZ4" s="216" t="s">
        <v>296</v>
      </c>
    </row>
    <row r="5" spans="1:52" ht="15.75" thickBot="1" x14ac:dyDescent="0.3">
      <c r="A5" s="119" t="s">
        <v>80</v>
      </c>
      <c r="B5" s="5"/>
      <c r="C5" s="5"/>
      <c r="D5" s="5"/>
      <c r="E5" s="5"/>
      <c r="F5" s="20"/>
      <c r="G5" s="8"/>
      <c r="H5" s="6"/>
      <c r="I5" s="6"/>
      <c r="J5" s="117"/>
      <c r="K5" s="117"/>
      <c r="L5" s="5"/>
      <c r="M5" s="5"/>
      <c r="N5" s="5"/>
      <c r="O5" s="5"/>
      <c r="P5" s="120"/>
      <c r="Q5" s="118"/>
      <c r="R5" s="6"/>
      <c r="S5" s="6"/>
      <c r="T5" s="117"/>
      <c r="U5" s="117"/>
      <c r="V5" s="5"/>
      <c r="W5" s="5"/>
      <c r="X5" s="5"/>
      <c r="Y5" s="5"/>
      <c r="Z5" s="4"/>
      <c r="AA5" s="4"/>
      <c r="AB5" s="195"/>
      <c r="AC5" s="195"/>
      <c r="AD5" s="196"/>
      <c r="AE5" s="196"/>
      <c r="AF5" s="197"/>
      <c r="AG5" s="197"/>
      <c r="AH5" s="5"/>
      <c r="AI5" s="5"/>
      <c r="AJ5" s="8"/>
      <c r="AK5" s="8"/>
      <c r="AL5" s="4"/>
      <c r="AM5" s="4"/>
      <c r="AN5" s="192"/>
      <c r="AO5" s="192"/>
      <c r="AP5" s="5"/>
      <c r="AQ5" s="5"/>
      <c r="AR5" s="8"/>
      <c r="AS5" s="8"/>
      <c r="AT5" s="4"/>
      <c r="AU5" s="4"/>
      <c r="AV5" s="192"/>
      <c r="AW5" s="237"/>
      <c r="AX5" s="216"/>
      <c r="AY5" s="216"/>
      <c r="AZ5" s="216"/>
    </row>
    <row r="6" spans="1:52" ht="15.75" thickBot="1" x14ac:dyDescent="0.3">
      <c r="A6" s="116" t="s">
        <v>113</v>
      </c>
      <c r="B6" s="5">
        <v>26</v>
      </c>
      <c r="C6" s="5"/>
      <c r="D6" s="5">
        <v>12</v>
      </c>
      <c r="E6" s="5">
        <v>8.4</v>
      </c>
      <c r="F6" s="20">
        <f t="shared" ref="F6:F16" si="0">B6-D6</f>
        <v>14</v>
      </c>
      <c r="G6" s="20"/>
      <c r="H6" s="6">
        <v>6</v>
      </c>
      <c r="I6" s="6">
        <v>4.2</v>
      </c>
      <c r="J6" s="117">
        <f t="shared" ref="J6:K9" si="1">H6-D6</f>
        <v>-6</v>
      </c>
      <c r="K6" s="117">
        <f t="shared" si="1"/>
        <v>-4.2</v>
      </c>
      <c r="L6" s="5">
        <v>6</v>
      </c>
      <c r="M6" s="5">
        <v>49.5</v>
      </c>
      <c r="N6" s="5"/>
      <c r="O6" s="5"/>
      <c r="P6" s="120">
        <f t="shared" ref="P6:P16" si="2">L6-N6</f>
        <v>6</v>
      </c>
      <c r="Q6" s="120"/>
      <c r="R6" s="6">
        <v>6</v>
      </c>
      <c r="S6" s="6">
        <v>4.2</v>
      </c>
      <c r="T6" s="117">
        <f t="shared" ref="T6:U9" si="3">R6-N6</f>
        <v>6</v>
      </c>
      <c r="U6" s="117">
        <f t="shared" si="3"/>
        <v>4.2</v>
      </c>
      <c r="V6" s="5">
        <f>B6+L6</f>
        <v>32</v>
      </c>
      <c r="W6" s="5">
        <f>C6+M6</f>
        <v>49.5</v>
      </c>
      <c r="X6" s="5">
        <v>12</v>
      </c>
      <c r="Y6" s="5">
        <v>8.4</v>
      </c>
      <c r="Z6" s="4">
        <f t="shared" ref="Z6:AA11" si="4">V6-X6</f>
        <v>20</v>
      </c>
      <c r="AA6" s="4">
        <f t="shared" si="4"/>
        <v>41.1</v>
      </c>
      <c r="AB6" s="195">
        <v>21</v>
      </c>
      <c r="AC6" s="195">
        <v>14.7</v>
      </c>
      <c r="AD6" s="196">
        <f t="shared" ref="AD6:AE11" si="5">AB6-X6</f>
        <v>9</v>
      </c>
      <c r="AE6" s="196">
        <f t="shared" si="5"/>
        <v>6.2999999999999989</v>
      </c>
      <c r="AF6" s="197">
        <v>2</v>
      </c>
      <c r="AG6" s="197">
        <v>0</v>
      </c>
      <c r="AH6" s="5"/>
      <c r="AI6" s="5"/>
      <c r="AJ6" s="8">
        <f>D6+N6+AH6</f>
        <v>12</v>
      </c>
      <c r="AK6" s="8">
        <f>E6+O6+AI6</f>
        <v>8.4</v>
      </c>
      <c r="AL6" s="4">
        <f>V6+AF6</f>
        <v>34</v>
      </c>
      <c r="AM6" s="4">
        <f>W6+AG6</f>
        <v>49.5</v>
      </c>
      <c r="AN6" s="192">
        <f>AL6-AJ6</f>
        <v>22</v>
      </c>
      <c r="AO6" s="192">
        <f>AM6-AK6</f>
        <v>41.1</v>
      </c>
      <c r="AP6" s="5">
        <v>32</v>
      </c>
      <c r="AQ6" s="5">
        <v>28.26</v>
      </c>
      <c r="AR6" s="8">
        <f>D6+N6+AH6+AP6</f>
        <v>44</v>
      </c>
      <c r="AS6" s="8">
        <f>E6+O6+AI6+AQ6</f>
        <v>36.660000000000004</v>
      </c>
      <c r="AT6" s="4">
        <v>55</v>
      </c>
      <c r="AU6" s="4">
        <v>49.5</v>
      </c>
      <c r="AV6" s="192">
        <f>AT6-AR6</f>
        <v>11</v>
      </c>
      <c r="AW6" s="237">
        <f>AU6-AS6</f>
        <v>12.839999999999996</v>
      </c>
      <c r="AX6" s="216">
        <v>38</v>
      </c>
      <c r="AY6" s="216">
        <v>144</v>
      </c>
      <c r="AZ6" s="216"/>
    </row>
    <row r="7" spans="1:52" ht="15.75" thickBot="1" x14ac:dyDescent="0.3">
      <c r="A7" s="116" t="s">
        <v>114</v>
      </c>
      <c r="B7" s="5">
        <v>22</v>
      </c>
      <c r="C7" s="5"/>
      <c r="D7" s="5">
        <v>12</v>
      </c>
      <c r="E7" s="5">
        <v>9.6</v>
      </c>
      <c r="F7" s="20">
        <f t="shared" si="0"/>
        <v>10</v>
      </c>
      <c r="G7" s="20"/>
      <c r="H7" s="6">
        <v>11</v>
      </c>
      <c r="I7" s="6">
        <v>8.8000000000000007</v>
      </c>
      <c r="J7" s="117">
        <f t="shared" si="1"/>
        <v>-1</v>
      </c>
      <c r="K7" s="117">
        <f t="shared" si="1"/>
        <v>-0.79999999999999893</v>
      </c>
      <c r="L7" s="5">
        <v>4.5</v>
      </c>
      <c r="M7" s="5">
        <v>0</v>
      </c>
      <c r="N7" s="5">
        <v>5</v>
      </c>
      <c r="O7" s="5">
        <v>4</v>
      </c>
      <c r="P7" s="120">
        <f t="shared" si="2"/>
        <v>-0.5</v>
      </c>
      <c r="Q7" s="120"/>
      <c r="R7" s="6">
        <v>11</v>
      </c>
      <c r="S7" s="6">
        <v>8.8000000000000007</v>
      </c>
      <c r="T7" s="117">
        <f t="shared" si="3"/>
        <v>6</v>
      </c>
      <c r="U7" s="117">
        <f t="shared" si="3"/>
        <v>4.8000000000000007</v>
      </c>
      <c r="V7" s="5">
        <f t="shared" ref="V7:V11" si="6">B7+L7</f>
        <v>26.5</v>
      </c>
      <c r="W7" s="5">
        <f t="shared" ref="W7:W11" si="7">C7+M7</f>
        <v>0</v>
      </c>
      <c r="X7" s="5">
        <v>17</v>
      </c>
      <c r="Y7" s="5">
        <v>13.6</v>
      </c>
      <c r="Z7" s="4">
        <f t="shared" si="4"/>
        <v>9.5</v>
      </c>
      <c r="AA7" s="4">
        <f t="shared" si="4"/>
        <v>-13.6</v>
      </c>
      <c r="AB7" s="195">
        <v>19</v>
      </c>
      <c r="AC7" s="195">
        <v>15.2</v>
      </c>
      <c r="AD7" s="196">
        <f t="shared" si="5"/>
        <v>2</v>
      </c>
      <c r="AE7" s="196">
        <f t="shared" si="5"/>
        <v>1.5999999999999996</v>
      </c>
      <c r="AF7" s="197">
        <v>1</v>
      </c>
      <c r="AG7" s="197">
        <v>40.5</v>
      </c>
      <c r="AH7" s="5">
        <v>2</v>
      </c>
      <c r="AI7" s="5">
        <v>1.6</v>
      </c>
      <c r="AJ7" s="8">
        <f t="shared" ref="AJ7:AJ16" si="8">D7+N7+AH7</f>
        <v>19</v>
      </c>
      <c r="AK7" s="8">
        <f t="shared" ref="AK7:AK16" si="9">E7+O7+AI7</f>
        <v>15.2</v>
      </c>
      <c r="AL7" s="4">
        <f t="shared" ref="AL7:AL16" si="10">V7+AF7</f>
        <v>27.5</v>
      </c>
      <c r="AM7" s="4">
        <f t="shared" ref="AM7:AM16" si="11">W7+AG7</f>
        <v>40.5</v>
      </c>
      <c r="AN7" s="192">
        <f t="shared" ref="AN7:AN16" si="12">AL7-AJ7</f>
        <v>8.5</v>
      </c>
      <c r="AO7" s="192">
        <f t="shared" ref="AO7:AO16" si="13">AM7-AK7</f>
        <v>25.3</v>
      </c>
      <c r="AP7" s="5">
        <v>20</v>
      </c>
      <c r="AQ7" s="5">
        <v>16</v>
      </c>
      <c r="AR7" s="8">
        <f>D7+N7+AH7+AP7</f>
        <v>39</v>
      </c>
      <c r="AS7" s="8">
        <f>E7+O7+AI7+AQ7</f>
        <v>31.2</v>
      </c>
      <c r="AT7" s="4">
        <v>45</v>
      </c>
      <c r="AU7" s="4">
        <v>40.5</v>
      </c>
      <c r="AV7" s="192">
        <f t="shared" ref="AV7:AV16" si="14">AT7-AR7</f>
        <v>6</v>
      </c>
      <c r="AW7" s="237">
        <f t="shared" ref="AW7:AW16" si="15">AU7-AS7</f>
        <v>9.3000000000000007</v>
      </c>
      <c r="AX7" s="216">
        <v>34</v>
      </c>
      <c r="AY7" s="216">
        <v>29.5</v>
      </c>
      <c r="AZ7" s="216"/>
    </row>
    <row r="8" spans="1:52" ht="15.75" thickBot="1" x14ac:dyDescent="0.3">
      <c r="A8" s="116" t="s">
        <v>115</v>
      </c>
      <c r="B8" s="5">
        <v>35.299999999999997</v>
      </c>
      <c r="C8" s="5"/>
      <c r="D8" s="5">
        <v>0</v>
      </c>
      <c r="E8" s="5">
        <v>0</v>
      </c>
      <c r="F8" s="20">
        <f t="shared" si="0"/>
        <v>35.299999999999997</v>
      </c>
      <c r="G8" s="20"/>
      <c r="H8" s="6">
        <v>42</v>
      </c>
      <c r="I8" s="6">
        <v>23.2</v>
      </c>
      <c r="J8" s="117">
        <f t="shared" si="1"/>
        <v>42</v>
      </c>
      <c r="K8" s="117">
        <f t="shared" si="1"/>
        <v>23.2</v>
      </c>
      <c r="L8" s="5">
        <v>7.4</v>
      </c>
      <c r="M8" s="5">
        <v>62</v>
      </c>
      <c r="N8" s="5"/>
      <c r="O8" s="5"/>
      <c r="P8" s="120">
        <f t="shared" si="2"/>
        <v>7.4</v>
      </c>
      <c r="Q8" s="120"/>
      <c r="R8" s="6">
        <v>42</v>
      </c>
      <c r="S8" s="6">
        <v>23.2</v>
      </c>
      <c r="T8" s="117">
        <f t="shared" si="3"/>
        <v>42</v>
      </c>
      <c r="U8" s="117">
        <f t="shared" si="3"/>
        <v>23.2</v>
      </c>
      <c r="V8" s="5">
        <f t="shared" si="6"/>
        <v>42.699999999999996</v>
      </c>
      <c r="W8" s="5">
        <f t="shared" si="7"/>
        <v>62</v>
      </c>
      <c r="X8" s="5"/>
      <c r="Y8" s="5"/>
      <c r="Z8" s="4">
        <f t="shared" si="4"/>
        <v>42.699999999999996</v>
      </c>
      <c r="AA8" s="4">
        <f t="shared" si="4"/>
        <v>62</v>
      </c>
      <c r="AB8" s="195">
        <v>47</v>
      </c>
      <c r="AC8" s="195">
        <v>26.1</v>
      </c>
      <c r="AD8" s="196">
        <f t="shared" si="5"/>
        <v>47</v>
      </c>
      <c r="AE8" s="196">
        <f t="shared" si="5"/>
        <v>26.1</v>
      </c>
      <c r="AF8" s="197">
        <v>1.8</v>
      </c>
      <c r="AG8" s="197">
        <v>0</v>
      </c>
      <c r="AH8" s="5"/>
      <c r="AI8" s="5"/>
      <c r="AJ8" s="8">
        <f t="shared" si="8"/>
        <v>0</v>
      </c>
      <c r="AK8" s="8">
        <f t="shared" si="9"/>
        <v>0</v>
      </c>
      <c r="AL8" s="4">
        <f t="shared" si="10"/>
        <v>44.499999999999993</v>
      </c>
      <c r="AM8" s="4">
        <f t="shared" si="11"/>
        <v>62</v>
      </c>
      <c r="AN8" s="192">
        <f t="shared" si="12"/>
        <v>44.499999999999993</v>
      </c>
      <c r="AO8" s="192">
        <f t="shared" si="13"/>
        <v>62</v>
      </c>
      <c r="AP8" s="5"/>
      <c r="AQ8" s="5"/>
      <c r="AR8" s="8"/>
      <c r="AS8" s="8"/>
      <c r="AT8" s="4">
        <v>75</v>
      </c>
      <c r="AU8" s="4">
        <v>62</v>
      </c>
      <c r="AV8" s="192">
        <f t="shared" si="14"/>
        <v>75</v>
      </c>
      <c r="AW8" s="237">
        <f t="shared" si="15"/>
        <v>62</v>
      </c>
      <c r="AX8" s="216">
        <v>59</v>
      </c>
      <c r="AY8" s="216">
        <v>112.9</v>
      </c>
      <c r="AZ8" s="216"/>
    </row>
    <row r="9" spans="1:52" ht="15.75" thickBot="1" x14ac:dyDescent="0.3">
      <c r="A9" s="116" t="s">
        <v>116</v>
      </c>
      <c r="B9" s="5">
        <v>11</v>
      </c>
      <c r="C9" s="5"/>
      <c r="D9" s="5">
        <v>8</v>
      </c>
      <c r="E9" s="5">
        <v>4.5999999999999996</v>
      </c>
      <c r="F9" s="20">
        <f t="shared" si="0"/>
        <v>3</v>
      </c>
      <c r="G9" s="20"/>
      <c r="H9" s="6">
        <v>12</v>
      </c>
      <c r="I9" s="6">
        <v>9.6</v>
      </c>
      <c r="J9" s="117">
        <f t="shared" si="1"/>
        <v>4</v>
      </c>
      <c r="K9" s="117">
        <f t="shared" si="1"/>
        <v>5</v>
      </c>
      <c r="L9" s="5">
        <v>2.5</v>
      </c>
      <c r="M9" s="5">
        <v>2.25</v>
      </c>
      <c r="N9" s="5"/>
      <c r="O9" s="5"/>
      <c r="P9" s="120">
        <f t="shared" si="2"/>
        <v>2.5</v>
      </c>
      <c r="Q9" s="120"/>
      <c r="R9" s="6">
        <v>12</v>
      </c>
      <c r="S9" s="6">
        <v>9.6</v>
      </c>
      <c r="T9" s="117">
        <f t="shared" si="3"/>
        <v>12</v>
      </c>
      <c r="U9" s="117">
        <f t="shared" si="3"/>
        <v>9.6</v>
      </c>
      <c r="V9" s="5">
        <f t="shared" si="6"/>
        <v>13.5</v>
      </c>
      <c r="W9" s="5">
        <f t="shared" si="7"/>
        <v>2.25</v>
      </c>
      <c r="X9" s="5">
        <v>16</v>
      </c>
      <c r="Y9" s="5">
        <v>9.1999999999999993</v>
      </c>
      <c r="Z9" s="4">
        <f t="shared" si="4"/>
        <v>-2.5</v>
      </c>
      <c r="AA9" s="4">
        <f t="shared" si="4"/>
        <v>-6.9499999999999993</v>
      </c>
      <c r="AB9" s="195">
        <v>16</v>
      </c>
      <c r="AC9" s="195">
        <v>12.8</v>
      </c>
      <c r="AD9" s="196">
        <f t="shared" si="5"/>
        <v>0</v>
      </c>
      <c r="AE9" s="196">
        <f t="shared" si="5"/>
        <v>3.6000000000000014</v>
      </c>
      <c r="AF9" s="197">
        <v>1.5</v>
      </c>
      <c r="AG9" s="197">
        <v>22.5</v>
      </c>
      <c r="AH9" s="5"/>
      <c r="AI9" s="5"/>
      <c r="AJ9" s="8">
        <f t="shared" si="8"/>
        <v>8</v>
      </c>
      <c r="AK9" s="8">
        <f t="shared" si="9"/>
        <v>4.5999999999999996</v>
      </c>
      <c r="AL9" s="4">
        <f t="shared" si="10"/>
        <v>15</v>
      </c>
      <c r="AM9" s="4">
        <f t="shared" si="11"/>
        <v>24.75</v>
      </c>
      <c r="AN9" s="192">
        <f t="shared" si="12"/>
        <v>7</v>
      </c>
      <c r="AO9" s="192">
        <f t="shared" si="13"/>
        <v>20.149999999999999</v>
      </c>
      <c r="AP9" s="5"/>
      <c r="AQ9" s="5"/>
      <c r="AR9" s="8">
        <f>D9+N8+AH9+AP9</f>
        <v>8</v>
      </c>
      <c r="AS9" s="8">
        <f>E9</f>
        <v>4.5999999999999996</v>
      </c>
      <c r="AT9" s="4">
        <v>25</v>
      </c>
      <c r="AU9" s="4">
        <v>22.5</v>
      </c>
      <c r="AV9" s="192">
        <f t="shared" si="14"/>
        <v>17</v>
      </c>
      <c r="AW9" s="237">
        <f t="shared" si="15"/>
        <v>17.899999999999999</v>
      </c>
      <c r="AX9" s="216">
        <v>8</v>
      </c>
      <c r="AY9" s="216">
        <v>65</v>
      </c>
      <c r="AZ9" s="216"/>
    </row>
    <row r="10" spans="1:52" ht="15.75" thickBot="1" x14ac:dyDescent="0.3">
      <c r="A10" s="121" t="s">
        <v>117</v>
      </c>
      <c r="B10" s="5">
        <v>7.1</v>
      </c>
      <c r="C10" s="5"/>
      <c r="D10" s="5"/>
      <c r="E10" s="5"/>
      <c r="F10" s="20">
        <f t="shared" si="0"/>
        <v>7.1</v>
      </c>
      <c r="G10" s="20"/>
      <c r="H10" s="6"/>
      <c r="I10" s="6"/>
      <c r="J10" s="117"/>
      <c r="K10" s="117"/>
      <c r="L10" s="5">
        <v>1.5</v>
      </c>
      <c r="M10" s="5">
        <v>0</v>
      </c>
      <c r="N10" s="5"/>
      <c r="O10" s="5"/>
      <c r="P10" s="120">
        <f t="shared" si="2"/>
        <v>1.5</v>
      </c>
      <c r="Q10" s="120"/>
      <c r="R10" s="6"/>
      <c r="S10" s="6"/>
      <c r="T10" s="117"/>
      <c r="U10" s="117"/>
      <c r="V10" s="5">
        <f t="shared" si="6"/>
        <v>8.6</v>
      </c>
      <c r="W10" s="5">
        <f t="shared" si="7"/>
        <v>0</v>
      </c>
      <c r="X10" s="5"/>
      <c r="Y10" s="5"/>
      <c r="Z10" s="4">
        <f t="shared" si="4"/>
        <v>8.6</v>
      </c>
      <c r="AA10" s="4">
        <f t="shared" si="4"/>
        <v>0</v>
      </c>
      <c r="AB10" s="195">
        <v>0</v>
      </c>
      <c r="AC10" s="195">
        <v>0</v>
      </c>
      <c r="AD10" s="196">
        <f t="shared" si="5"/>
        <v>0</v>
      </c>
      <c r="AE10" s="196">
        <f t="shared" si="5"/>
        <v>0</v>
      </c>
      <c r="AF10" s="197">
        <v>0.4</v>
      </c>
      <c r="AG10" s="197">
        <v>12.5</v>
      </c>
      <c r="AH10" s="5"/>
      <c r="AI10" s="5"/>
      <c r="AJ10" s="8">
        <f t="shared" si="8"/>
        <v>0</v>
      </c>
      <c r="AK10" s="8">
        <f t="shared" si="9"/>
        <v>0</v>
      </c>
      <c r="AL10" s="4">
        <f t="shared" si="10"/>
        <v>9</v>
      </c>
      <c r="AM10" s="4">
        <f t="shared" si="11"/>
        <v>12.5</v>
      </c>
      <c r="AN10" s="192">
        <f t="shared" si="12"/>
        <v>9</v>
      </c>
      <c r="AO10" s="192">
        <f t="shared" si="13"/>
        <v>12.5</v>
      </c>
      <c r="AP10" s="5"/>
      <c r="AQ10" s="5"/>
      <c r="AR10" s="8"/>
      <c r="AS10" s="8"/>
      <c r="AT10" s="4">
        <v>15</v>
      </c>
      <c r="AU10" s="4">
        <v>12.5</v>
      </c>
      <c r="AV10" s="192">
        <f t="shared" si="14"/>
        <v>15</v>
      </c>
      <c r="AW10" s="237">
        <f t="shared" si="15"/>
        <v>12.5</v>
      </c>
      <c r="AX10" s="216"/>
      <c r="AY10" s="216"/>
      <c r="AZ10" s="216"/>
    </row>
    <row r="11" spans="1:52" ht="15.75" thickBot="1" x14ac:dyDescent="0.3">
      <c r="A11" s="116" t="s">
        <v>118</v>
      </c>
      <c r="B11" s="5">
        <v>13.6</v>
      </c>
      <c r="C11" s="5"/>
      <c r="D11" s="5">
        <v>17</v>
      </c>
      <c r="E11" s="5">
        <v>13.6</v>
      </c>
      <c r="F11" s="20">
        <f t="shared" si="0"/>
        <v>-3.4000000000000004</v>
      </c>
      <c r="G11" s="20"/>
      <c r="H11" s="6">
        <v>14</v>
      </c>
      <c r="I11" s="6">
        <v>9.8000000000000007</v>
      </c>
      <c r="J11" s="117">
        <f>H11-D11</f>
        <v>-3</v>
      </c>
      <c r="K11" s="117">
        <f>I11-E11</f>
        <v>-3.7999999999999989</v>
      </c>
      <c r="L11" s="5">
        <v>4</v>
      </c>
      <c r="M11" s="5">
        <v>26.1</v>
      </c>
      <c r="N11" s="5">
        <v>4</v>
      </c>
      <c r="O11" s="5">
        <v>3.2</v>
      </c>
      <c r="P11" s="120">
        <f t="shared" si="2"/>
        <v>0</v>
      </c>
      <c r="Q11" s="120"/>
      <c r="R11" s="6">
        <v>14</v>
      </c>
      <c r="S11" s="6">
        <v>9.8000000000000007</v>
      </c>
      <c r="T11" s="117">
        <f>R11-N11</f>
        <v>10</v>
      </c>
      <c r="U11" s="117">
        <f>S11-O11</f>
        <v>6.6000000000000005</v>
      </c>
      <c r="V11" s="5">
        <f t="shared" si="6"/>
        <v>17.600000000000001</v>
      </c>
      <c r="W11" s="5">
        <f t="shared" si="7"/>
        <v>26.1</v>
      </c>
      <c r="X11" s="5">
        <v>21</v>
      </c>
      <c r="Y11" s="5">
        <v>16.8</v>
      </c>
      <c r="Z11" s="4">
        <f t="shared" si="4"/>
        <v>-3.3999999999999986</v>
      </c>
      <c r="AA11" s="4">
        <f t="shared" si="4"/>
        <v>9.3000000000000007</v>
      </c>
      <c r="AB11" s="195">
        <v>18</v>
      </c>
      <c r="AC11" s="195">
        <v>12.6</v>
      </c>
      <c r="AD11" s="196">
        <f t="shared" si="5"/>
        <v>-3</v>
      </c>
      <c r="AE11" s="196">
        <f t="shared" si="5"/>
        <v>-4.2000000000000011</v>
      </c>
      <c r="AF11" s="197">
        <v>0.7</v>
      </c>
      <c r="AG11" s="197">
        <v>0</v>
      </c>
      <c r="AH11" s="5"/>
      <c r="AI11" s="5"/>
      <c r="AJ11" s="8">
        <f t="shared" si="8"/>
        <v>21</v>
      </c>
      <c r="AK11" s="8">
        <f t="shared" si="9"/>
        <v>16.8</v>
      </c>
      <c r="AL11" s="4">
        <f t="shared" si="10"/>
        <v>18.3</v>
      </c>
      <c r="AM11" s="4">
        <f t="shared" si="11"/>
        <v>26.1</v>
      </c>
      <c r="AN11" s="192">
        <f t="shared" si="12"/>
        <v>-2.6999999999999993</v>
      </c>
      <c r="AO11" s="192">
        <f t="shared" si="13"/>
        <v>9.3000000000000007</v>
      </c>
      <c r="AP11" s="5">
        <v>16</v>
      </c>
      <c r="AQ11" s="5">
        <v>12.8</v>
      </c>
      <c r="AR11" s="8">
        <f>D11+N11+AH11+AP11</f>
        <v>37</v>
      </c>
      <c r="AS11" s="8">
        <f>E11+O11+AI11+AQ11</f>
        <v>29.6</v>
      </c>
      <c r="AT11" s="4">
        <v>29</v>
      </c>
      <c r="AU11" s="4">
        <v>26.1</v>
      </c>
      <c r="AV11" s="192">
        <f t="shared" si="14"/>
        <v>-8</v>
      </c>
      <c r="AW11" s="237">
        <f t="shared" si="15"/>
        <v>-3.5</v>
      </c>
      <c r="AX11" s="216">
        <v>34</v>
      </c>
      <c r="AY11" s="216">
        <v>23</v>
      </c>
      <c r="AZ11" s="216"/>
    </row>
    <row r="12" spans="1:52" ht="15.75" thickBot="1" x14ac:dyDescent="0.3">
      <c r="A12" s="116" t="s">
        <v>89</v>
      </c>
      <c r="B12" s="5"/>
      <c r="C12" s="5"/>
      <c r="D12" s="5"/>
      <c r="E12" s="5"/>
      <c r="F12" s="20">
        <f t="shared" si="0"/>
        <v>0</v>
      </c>
      <c r="G12" s="20"/>
      <c r="H12" s="6"/>
      <c r="I12" s="6"/>
      <c r="J12" s="117"/>
      <c r="K12" s="117"/>
      <c r="L12" s="5"/>
      <c r="M12" s="5"/>
      <c r="N12" s="5"/>
      <c r="O12" s="5"/>
      <c r="P12" s="120">
        <f t="shared" si="2"/>
        <v>0</v>
      </c>
      <c r="Q12" s="120"/>
      <c r="R12" s="6"/>
      <c r="S12" s="6"/>
      <c r="T12" s="117"/>
      <c r="U12" s="117"/>
      <c r="V12" s="5"/>
      <c r="W12" s="5"/>
      <c r="X12" s="5"/>
      <c r="Y12" s="5"/>
      <c r="Z12" s="4"/>
      <c r="AA12" s="4"/>
      <c r="AB12" s="195"/>
      <c r="AC12" s="195"/>
      <c r="AD12" s="196"/>
      <c r="AE12" s="196"/>
      <c r="AF12" s="197"/>
      <c r="AG12" s="197"/>
      <c r="AH12" s="5"/>
      <c r="AI12" s="5"/>
      <c r="AJ12" s="8">
        <f t="shared" si="8"/>
        <v>0</v>
      </c>
      <c r="AK12" s="8">
        <f t="shared" si="9"/>
        <v>0</v>
      </c>
      <c r="AL12" s="4">
        <f t="shared" si="10"/>
        <v>0</v>
      </c>
      <c r="AM12" s="4">
        <f t="shared" si="11"/>
        <v>0</v>
      </c>
      <c r="AN12" s="192">
        <f t="shared" si="12"/>
        <v>0</v>
      </c>
      <c r="AO12" s="192">
        <f t="shared" si="13"/>
        <v>0</v>
      </c>
      <c r="AP12" s="5"/>
      <c r="AQ12" s="5"/>
      <c r="AR12" s="8">
        <f t="shared" ref="AR12:AR16" si="16">L12+V12+AP12</f>
        <v>0</v>
      </c>
      <c r="AS12" s="8">
        <f t="shared" ref="AS12:AS16" si="17">M12+W12+AQ12</f>
        <v>0</v>
      </c>
      <c r="AT12" s="4">
        <f t="shared" ref="AT12:AT16" si="18">AD12+AN12</f>
        <v>0</v>
      </c>
      <c r="AU12" s="4">
        <f t="shared" ref="AU12:AU16" si="19">AE12+AO12</f>
        <v>0</v>
      </c>
      <c r="AV12" s="192">
        <f t="shared" si="14"/>
        <v>0</v>
      </c>
      <c r="AW12" s="237">
        <f t="shared" si="15"/>
        <v>0</v>
      </c>
      <c r="AX12" s="216"/>
      <c r="AY12" s="216">
        <v>122</v>
      </c>
      <c r="AZ12" s="216">
        <v>23.7</v>
      </c>
    </row>
    <row r="13" spans="1:52" ht="15.75" thickBot="1" x14ac:dyDescent="0.3">
      <c r="A13" s="116" t="s">
        <v>294</v>
      </c>
      <c r="B13" s="5"/>
      <c r="C13" s="5"/>
      <c r="D13" s="5"/>
      <c r="E13" s="5"/>
      <c r="F13" s="20"/>
      <c r="G13" s="20"/>
      <c r="H13" s="6"/>
      <c r="I13" s="6"/>
      <c r="J13" s="117"/>
      <c r="K13" s="117"/>
      <c r="L13" s="5"/>
      <c r="M13" s="5"/>
      <c r="N13" s="5"/>
      <c r="O13" s="5"/>
      <c r="P13" s="120"/>
      <c r="Q13" s="120"/>
      <c r="R13" s="6"/>
      <c r="S13" s="6"/>
      <c r="T13" s="117"/>
      <c r="U13" s="117"/>
      <c r="V13" s="5"/>
      <c r="W13" s="5"/>
      <c r="X13" s="5"/>
      <c r="Y13" s="5"/>
      <c r="Z13" s="4"/>
      <c r="AA13" s="4"/>
      <c r="AB13" s="195"/>
      <c r="AC13" s="195"/>
      <c r="AD13" s="196"/>
      <c r="AE13" s="196"/>
      <c r="AF13" s="197"/>
      <c r="AG13" s="197"/>
      <c r="AH13" s="5"/>
      <c r="AI13" s="5"/>
      <c r="AJ13" s="8"/>
      <c r="AK13" s="8"/>
      <c r="AL13" s="4"/>
      <c r="AM13" s="4"/>
      <c r="AN13" s="192"/>
      <c r="AO13" s="192"/>
      <c r="AP13" s="5"/>
      <c r="AQ13" s="5"/>
      <c r="AR13" s="8"/>
      <c r="AS13" s="8"/>
      <c r="AT13" s="4"/>
      <c r="AU13" s="4"/>
      <c r="AV13" s="192"/>
      <c r="AW13" s="237"/>
      <c r="AX13" s="216"/>
      <c r="AY13" s="216">
        <v>145.5</v>
      </c>
      <c r="AZ13" s="216">
        <v>19.5</v>
      </c>
    </row>
    <row r="14" spans="1:52" ht="15.75" thickBot="1" x14ac:dyDescent="0.3">
      <c r="A14" s="116" t="s">
        <v>88</v>
      </c>
      <c r="B14" s="5"/>
      <c r="C14" s="5"/>
      <c r="D14" s="5"/>
      <c r="E14" s="5"/>
      <c r="F14" s="20">
        <f t="shared" si="0"/>
        <v>0</v>
      </c>
      <c r="G14" s="20"/>
      <c r="H14" s="6"/>
      <c r="I14" s="6"/>
      <c r="J14" s="117"/>
      <c r="K14" s="117"/>
      <c r="L14" s="5"/>
      <c r="M14" s="5"/>
      <c r="N14" s="5"/>
      <c r="O14" s="5"/>
      <c r="P14" s="120">
        <f t="shared" si="2"/>
        <v>0</v>
      </c>
      <c r="Q14" s="120"/>
      <c r="R14" s="6"/>
      <c r="S14" s="6"/>
      <c r="T14" s="117"/>
      <c r="U14" s="117"/>
      <c r="V14" s="5"/>
      <c r="W14" s="5"/>
      <c r="X14" s="5"/>
      <c r="Y14" s="5"/>
      <c r="Z14" s="4"/>
      <c r="AA14" s="4"/>
      <c r="AB14" s="195"/>
      <c r="AC14" s="195"/>
      <c r="AD14" s="196"/>
      <c r="AE14" s="196"/>
      <c r="AF14" s="197"/>
      <c r="AG14" s="197"/>
      <c r="AH14" s="5"/>
      <c r="AI14" s="5"/>
      <c r="AJ14" s="8">
        <f t="shared" si="8"/>
        <v>0</v>
      </c>
      <c r="AK14" s="8">
        <f t="shared" si="9"/>
        <v>0</v>
      </c>
      <c r="AL14" s="4">
        <f t="shared" si="10"/>
        <v>0</v>
      </c>
      <c r="AM14" s="4">
        <f t="shared" si="11"/>
        <v>0</v>
      </c>
      <c r="AN14" s="192">
        <f t="shared" si="12"/>
        <v>0</v>
      </c>
      <c r="AO14" s="192">
        <f t="shared" si="13"/>
        <v>0</v>
      </c>
      <c r="AP14" s="5"/>
      <c r="AQ14" s="5"/>
      <c r="AR14" s="8">
        <f t="shared" si="16"/>
        <v>0</v>
      </c>
      <c r="AS14" s="8">
        <f t="shared" si="17"/>
        <v>0</v>
      </c>
      <c r="AT14" s="4">
        <f t="shared" si="18"/>
        <v>0</v>
      </c>
      <c r="AU14" s="4">
        <f t="shared" si="19"/>
        <v>0</v>
      </c>
      <c r="AV14" s="192">
        <f t="shared" si="14"/>
        <v>0</v>
      </c>
      <c r="AW14" s="237">
        <f t="shared" si="15"/>
        <v>0</v>
      </c>
      <c r="AX14" s="216"/>
      <c r="AY14" s="216">
        <v>86.9</v>
      </c>
      <c r="AZ14" s="216">
        <v>50.8</v>
      </c>
    </row>
    <row r="15" spans="1:52" ht="15.75" thickBot="1" x14ac:dyDescent="0.3">
      <c r="A15" s="116" t="s">
        <v>119</v>
      </c>
      <c r="B15" s="5"/>
      <c r="C15" s="5"/>
      <c r="D15" s="5"/>
      <c r="E15" s="5"/>
      <c r="F15" s="20">
        <f t="shared" si="0"/>
        <v>0</v>
      </c>
      <c r="G15" s="20"/>
      <c r="H15" s="6"/>
      <c r="I15" s="6"/>
      <c r="J15" s="117"/>
      <c r="K15" s="117"/>
      <c r="L15" s="5"/>
      <c r="M15" s="5"/>
      <c r="N15" s="5"/>
      <c r="O15" s="5"/>
      <c r="P15" s="120">
        <f t="shared" si="2"/>
        <v>0</v>
      </c>
      <c r="Q15" s="120"/>
      <c r="R15" s="6"/>
      <c r="S15" s="6"/>
      <c r="T15" s="117"/>
      <c r="U15" s="117"/>
      <c r="V15" s="5"/>
      <c r="W15" s="5"/>
      <c r="X15" s="5"/>
      <c r="Y15" s="5"/>
      <c r="Z15" s="4"/>
      <c r="AA15" s="4"/>
      <c r="AB15" s="195"/>
      <c r="AC15" s="195"/>
      <c r="AD15" s="196"/>
      <c r="AE15" s="196"/>
      <c r="AF15" s="197"/>
      <c r="AG15" s="197"/>
      <c r="AH15" s="5"/>
      <c r="AI15" s="5"/>
      <c r="AJ15" s="8">
        <f t="shared" si="8"/>
        <v>0</v>
      </c>
      <c r="AK15" s="8">
        <f t="shared" si="9"/>
        <v>0</v>
      </c>
      <c r="AL15" s="4">
        <f t="shared" si="10"/>
        <v>0</v>
      </c>
      <c r="AM15" s="4">
        <f t="shared" si="11"/>
        <v>0</v>
      </c>
      <c r="AN15" s="192">
        <f t="shared" si="12"/>
        <v>0</v>
      </c>
      <c r="AO15" s="192">
        <f t="shared" si="13"/>
        <v>0</v>
      </c>
      <c r="AP15" s="5"/>
      <c r="AQ15" s="5"/>
      <c r="AR15" s="8">
        <f t="shared" si="16"/>
        <v>0</v>
      </c>
      <c r="AS15" s="8">
        <f t="shared" si="17"/>
        <v>0</v>
      </c>
      <c r="AT15" s="4">
        <f t="shared" si="18"/>
        <v>0</v>
      </c>
      <c r="AU15" s="4">
        <f t="shared" si="19"/>
        <v>0</v>
      </c>
      <c r="AV15" s="192">
        <f t="shared" si="14"/>
        <v>0</v>
      </c>
      <c r="AW15" s="237">
        <f t="shared" si="15"/>
        <v>0</v>
      </c>
      <c r="AX15" s="216"/>
      <c r="AY15" s="216">
        <v>171</v>
      </c>
      <c r="AZ15" s="216">
        <v>15.5</v>
      </c>
    </row>
    <row r="16" spans="1:52" ht="15.75" thickBot="1" x14ac:dyDescent="0.3">
      <c r="A16" s="116" t="s">
        <v>90</v>
      </c>
      <c r="B16" s="5"/>
      <c r="C16" s="5"/>
      <c r="D16" s="5"/>
      <c r="E16" s="5"/>
      <c r="F16" s="20">
        <f t="shared" si="0"/>
        <v>0</v>
      </c>
      <c r="G16" s="20"/>
      <c r="H16" s="6"/>
      <c r="I16" s="6"/>
      <c r="J16" s="117"/>
      <c r="K16" s="117"/>
      <c r="L16" s="5"/>
      <c r="M16" s="5"/>
      <c r="N16" s="5"/>
      <c r="O16" s="5"/>
      <c r="P16" s="120">
        <f t="shared" si="2"/>
        <v>0</v>
      </c>
      <c r="Q16" s="120"/>
      <c r="R16" s="6"/>
      <c r="S16" s="6"/>
      <c r="T16" s="117"/>
      <c r="U16" s="117"/>
      <c r="V16" s="5"/>
      <c r="W16" s="5"/>
      <c r="X16" s="5"/>
      <c r="Y16" s="5"/>
      <c r="Z16" s="4"/>
      <c r="AA16" s="4"/>
      <c r="AB16" s="195"/>
      <c r="AC16" s="195"/>
      <c r="AD16" s="196"/>
      <c r="AE16" s="196"/>
      <c r="AF16" s="197"/>
      <c r="AG16" s="197"/>
      <c r="AH16" s="5"/>
      <c r="AI16" s="5"/>
      <c r="AJ16" s="8">
        <f t="shared" si="8"/>
        <v>0</v>
      </c>
      <c r="AK16" s="8">
        <f t="shared" si="9"/>
        <v>0</v>
      </c>
      <c r="AL16" s="4">
        <f t="shared" si="10"/>
        <v>0</v>
      </c>
      <c r="AM16" s="4">
        <f t="shared" si="11"/>
        <v>0</v>
      </c>
      <c r="AN16" s="192">
        <f t="shared" si="12"/>
        <v>0</v>
      </c>
      <c r="AO16" s="192">
        <f t="shared" si="13"/>
        <v>0</v>
      </c>
      <c r="AP16" s="5"/>
      <c r="AQ16" s="5"/>
      <c r="AR16" s="8">
        <f t="shared" si="16"/>
        <v>0</v>
      </c>
      <c r="AS16" s="8">
        <f t="shared" si="17"/>
        <v>0</v>
      </c>
      <c r="AT16" s="4">
        <f t="shared" si="18"/>
        <v>0</v>
      </c>
      <c r="AU16" s="4">
        <f t="shared" si="19"/>
        <v>0</v>
      </c>
      <c r="AV16" s="192">
        <f t="shared" si="14"/>
        <v>0</v>
      </c>
      <c r="AW16" s="237">
        <f t="shared" si="15"/>
        <v>0</v>
      </c>
      <c r="AX16" s="216"/>
      <c r="AY16" s="216">
        <v>169</v>
      </c>
      <c r="AZ16" s="216">
        <v>46</v>
      </c>
    </row>
    <row r="17" spans="1:52" s="36" customFormat="1" ht="16.5" thickBot="1" x14ac:dyDescent="0.3">
      <c r="A17" s="35" t="s">
        <v>92</v>
      </c>
      <c r="B17" s="13">
        <f t="shared" ref="B17:G17" si="20">SUM(B6:B16)</f>
        <v>114.99999999999999</v>
      </c>
      <c r="C17" s="13">
        <f t="shared" si="20"/>
        <v>0</v>
      </c>
      <c r="D17" s="13">
        <f t="shared" si="20"/>
        <v>49</v>
      </c>
      <c r="E17" s="13">
        <f t="shared" si="20"/>
        <v>36.200000000000003</v>
      </c>
      <c r="F17" s="13">
        <f t="shared" si="20"/>
        <v>65.999999999999986</v>
      </c>
      <c r="G17" s="13">
        <f t="shared" si="20"/>
        <v>0</v>
      </c>
      <c r="H17" s="13">
        <v>85</v>
      </c>
      <c r="I17" s="13">
        <v>55.600000000000009</v>
      </c>
      <c r="J17" s="13">
        <f>H17-D17</f>
        <v>36</v>
      </c>
      <c r="K17" s="13">
        <f>I17-E17</f>
        <v>19.400000000000006</v>
      </c>
      <c r="L17" s="13">
        <f t="shared" ref="L17:Q17" si="21">SUM(L6:L16)</f>
        <v>25.9</v>
      </c>
      <c r="M17" s="13">
        <f t="shared" si="21"/>
        <v>139.85</v>
      </c>
      <c r="N17" s="13">
        <f t="shared" si="21"/>
        <v>9</v>
      </c>
      <c r="O17" s="13">
        <f t="shared" si="21"/>
        <v>7.2</v>
      </c>
      <c r="P17" s="13">
        <f t="shared" si="21"/>
        <v>16.899999999999999</v>
      </c>
      <c r="Q17" s="13">
        <f t="shared" si="21"/>
        <v>0</v>
      </c>
      <c r="R17" s="13">
        <v>85</v>
      </c>
      <c r="S17" s="13">
        <v>55.600000000000009</v>
      </c>
      <c r="T17" s="13">
        <f>R17-N17</f>
        <v>76</v>
      </c>
      <c r="U17" s="13">
        <f>S17-O17</f>
        <v>48.400000000000006</v>
      </c>
      <c r="V17" s="13">
        <f>SUM(V6:V16)</f>
        <v>140.89999999999998</v>
      </c>
      <c r="W17" s="13">
        <f>SUM(W6:W16)</f>
        <v>139.85</v>
      </c>
      <c r="X17" s="13">
        <f>SUM(X6:X16)</f>
        <v>66</v>
      </c>
      <c r="Y17" s="13">
        <f>SUM(Y6:Y16)</f>
        <v>48</v>
      </c>
      <c r="Z17" s="13">
        <f>V17-X17</f>
        <v>74.899999999999977</v>
      </c>
      <c r="AA17" s="13">
        <f>W17-Y17</f>
        <v>91.85</v>
      </c>
      <c r="AB17" s="198">
        <v>121</v>
      </c>
      <c r="AC17" s="198">
        <v>81.400000000000006</v>
      </c>
      <c r="AD17" s="13">
        <f t="shared" ref="AD17:AG17" si="22">SUM(AD6:AD16)</f>
        <v>55</v>
      </c>
      <c r="AE17" s="13">
        <f t="shared" si="22"/>
        <v>33.4</v>
      </c>
      <c r="AF17" s="13">
        <f t="shared" si="22"/>
        <v>7.4</v>
      </c>
      <c r="AG17" s="13">
        <f t="shared" si="22"/>
        <v>75.5</v>
      </c>
      <c r="AH17" s="13">
        <f>SUM(AH6:AH16)</f>
        <v>2</v>
      </c>
      <c r="AI17" s="13">
        <f>SUM(AI6:AI16)</f>
        <v>1.6</v>
      </c>
      <c r="AJ17" s="13">
        <f>SUM(AJ6:AJ16)</f>
        <v>60</v>
      </c>
      <c r="AK17" s="13">
        <f>SUM(AK6:AK16)</f>
        <v>45</v>
      </c>
      <c r="AL17" s="13">
        <f t="shared" ref="AL17:AM17" si="23">SUM(AL6:AL16)</f>
        <v>148.30000000000001</v>
      </c>
      <c r="AM17" s="13">
        <f t="shared" si="23"/>
        <v>215.35</v>
      </c>
      <c r="AN17" s="13">
        <f>AL17-AJ17</f>
        <v>88.300000000000011</v>
      </c>
      <c r="AO17" s="13">
        <f>AM17-AK17</f>
        <v>170.35</v>
      </c>
      <c r="AP17" s="13">
        <f>SUM(AP6:AP16)</f>
        <v>68</v>
      </c>
      <c r="AQ17" s="13">
        <f>SUM(AQ6:AQ16)</f>
        <v>57.06</v>
      </c>
      <c r="AR17" s="13">
        <f>SUM(AR6:AR16)</f>
        <v>128</v>
      </c>
      <c r="AS17" s="13">
        <f>SUM(AS6:AS16)</f>
        <v>102.06</v>
      </c>
      <c r="AT17" s="13">
        <f t="shared" ref="AT17:AU17" si="24">SUM(AT6:AT16)</f>
        <v>244</v>
      </c>
      <c r="AU17" s="13">
        <f t="shared" si="24"/>
        <v>213.1</v>
      </c>
      <c r="AV17" s="13">
        <f>AT17-AR17</f>
        <v>116</v>
      </c>
      <c r="AW17" s="238">
        <f>AU17-AS17</f>
        <v>111.03999999999999</v>
      </c>
      <c r="AX17" s="217">
        <v>173</v>
      </c>
      <c r="AY17" s="217">
        <v>1068.8</v>
      </c>
      <c r="AZ17" s="217">
        <v>163.5</v>
      </c>
    </row>
    <row r="18" spans="1:52" ht="15.75" thickBot="1" x14ac:dyDescent="0.3">
      <c r="A18" s="119"/>
      <c r="B18" s="17"/>
      <c r="C18" s="17"/>
      <c r="D18" s="17"/>
      <c r="E18" s="5"/>
      <c r="F18" s="20">
        <f>D18-B18</f>
        <v>0</v>
      </c>
      <c r="G18" s="20">
        <f>E18-C18</f>
        <v>0</v>
      </c>
      <c r="H18" s="18"/>
      <c r="I18" s="6"/>
      <c r="J18" s="117"/>
      <c r="K18" s="117"/>
      <c r="L18" s="17"/>
      <c r="M18" s="17"/>
      <c r="N18" s="17"/>
      <c r="O18" s="5"/>
      <c r="P18" s="120">
        <f>N18-L18</f>
        <v>0</v>
      </c>
      <c r="Q18" s="120">
        <f>O18-M18</f>
        <v>0</v>
      </c>
      <c r="R18" s="18"/>
      <c r="S18" s="6"/>
      <c r="T18" s="117"/>
      <c r="U18" s="117"/>
      <c r="V18" s="5"/>
      <c r="W18" s="5"/>
      <c r="X18" s="5"/>
      <c r="Y18" s="5"/>
      <c r="Z18" s="4"/>
      <c r="AA18" s="4"/>
      <c r="AB18" s="195"/>
      <c r="AC18" s="195"/>
      <c r="AD18" s="196"/>
      <c r="AE18" s="196"/>
      <c r="AF18" s="197"/>
      <c r="AG18" s="197"/>
      <c r="AH18" s="5"/>
      <c r="AI18" s="5"/>
      <c r="AJ18" s="8"/>
      <c r="AK18" s="8"/>
      <c r="AL18" s="4"/>
      <c r="AM18" s="4"/>
      <c r="AN18" s="192"/>
      <c r="AO18" s="192"/>
      <c r="AP18" s="5"/>
      <c r="AQ18" s="5"/>
      <c r="AR18" s="8"/>
      <c r="AS18" s="8"/>
      <c r="AT18" s="4"/>
      <c r="AU18" s="4"/>
      <c r="AV18" s="192"/>
      <c r="AW18" s="237"/>
      <c r="AX18" s="216"/>
      <c r="AY18" s="216"/>
    </row>
    <row r="19" spans="1:52" ht="15.75" thickBot="1" x14ac:dyDescent="0.3">
      <c r="A19" s="119"/>
      <c r="B19" s="17"/>
      <c r="C19" s="17"/>
      <c r="D19" s="17"/>
      <c r="E19" s="5"/>
      <c r="F19" s="20">
        <f>D19-B19</f>
        <v>0</v>
      </c>
      <c r="G19" s="20"/>
      <c r="H19" s="18"/>
      <c r="I19" s="6"/>
      <c r="J19" s="117"/>
      <c r="K19" s="117"/>
      <c r="L19" s="17"/>
      <c r="M19" s="17"/>
      <c r="N19" s="17"/>
      <c r="O19" s="5"/>
      <c r="P19" s="120">
        <f>N19-L19</f>
        <v>0</v>
      </c>
      <c r="Q19" s="120"/>
      <c r="R19" s="18"/>
      <c r="S19" s="6"/>
      <c r="T19" s="117"/>
      <c r="U19" s="117"/>
      <c r="V19" s="5"/>
      <c r="W19" s="5"/>
      <c r="X19" s="5"/>
      <c r="Y19" s="5"/>
      <c r="Z19" s="4"/>
      <c r="AA19" s="4"/>
      <c r="AB19" s="195"/>
      <c r="AC19" s="195"/>
      <c r="AD19" s="196"/>
      <c r="AE19" s="196"/>
      <c r="AF19" s="197"/>
      <c r="AG19" s="197"/>
      <c r="AH19" s="5"/>
      <c r="AI19" s="5"/>
      <c r="AJ19" s="8"/>
      <c r="AK19" s="8"/>
      <c r="AL19" s="4"/>
      <c r="AM19" s="4"/>
      <c r="AN19" s="192"/>
      <c r="AO19" s="192"/>
      <c r="AP19" s="5"/>
      <c r="AQ19" s="5"/>
      <c r="AR19" s="8"/>
      <c r="AS19" s="8"/>
      <c r="AT19" s="4"/>
      <c r="AU19" s="4"/>
      <c r="AV19" s="192"/>
      <c r="AW19" s="237"/>
      <c r="AX19" s="216"/>
      <c r="AY19" s="216"/>
    </row>
    <row r="20" spans="1:52" ht="15.75" thickBot="1" x14ac:dyDescent="0.3">
      <c r="A20" s="119" t="s">
        <v>95</v>
      </c>
      <c r="B20" s="5"/>
      <c r="C20" s="5"/>
      <c r="D20" s="5"/>
      <c r="E20" s="5"/>
      <c r="F20" s="20">
        <f>D20-B20</f>
        <v>0</v>
      </c>
      <c r="G20" s="20"/>
      <c r="H20" s="6"/>
      <c r="I20" s="6"/>
      <c r="J20" s="117"/>
      <c r="K20" s="117"/>
      <c r="L20" s="5"/>
      <c r="M20" s="5"/>
      <c r="N20" s="5"/>
      <c r="O20" s="5"/>
      <c r="P20" s="120">
        <f>N20-L20</f>
        <v>0</v>
      </c>
      <c r="Q20" s="120"/>
      <c r="R20" s="6"/>
      <c r="S20" s="6"/>
      <c r="T20" s="117"/>
      <c r="U20" s="117"/>
      <c r="V20" s="5"/>
      <c r="W20" s="5"/>
      <c r="X20" s="5"/>
      <c r="Y20" s="5"/>
      <c r="Z20" s="4"/>
      <c r="AA20" s="4"/>
      <c r="AB20" s="195"/>
      <c r="AC20" s="195"/>
      <c r="AD20" s="196"/>
      <c r="AE20" s="196"/>
      <c r="AF20" s="197"/>
      <c r="AG20" s="197"/>
      <c r="AH20" s="5"/>
      <c r="AI20" s="5"/>
      <c r="AJ20" s="8"/>
      <c r="AK20" s="8"/>
      <c r="AL20" s="4"/>
      <c r="AM20" s="4"/>
      <c r="AN20" s="192"/>
      <c r="AO20" s="192"/>
      <c r="AP20" s="5"/>
      <c r="AQ20" s="5"/>
      <c r="AR20" s="8"/>
      <c r="AS20" s="8"/>
      <c r="AT20" s="4"/>
      <c r="AU20" s="4"/>
      <c r="AV20" s="192"/>
      <c r="AW20" s="237"/>
      <c r="AX20" s="216"/>
      <c r="AY20" s="216"/>
    </row>
    <row r="21" spans="1:52" ht="15.75" thickBot="1" x14ac:dyDescent="0.3">
      <c r="A21" s="116" t="s">
        <v>120</v>
      </c>
      <c r="B21" s="5">
        <v>5.3</v>
      </c>
      <c r="C21" s="5"/>
      <c r="D21" s="5">
        <v>5</v>
      </c>
      <c r="E21" s="5">
        <v>4.0999999999999996</v>
      </c>
      <c r="F21" s="20">
        <f t="shared" ref="F21:F29" si="25">B21-D21</f>
        <v>0.29999999999999982</v>
      </c>
      <c r="G21" s="20"/>
      <c r="H21" s="6">
        <v>3.6</v>
      </c>
      <c r="I21" s="6">
        <v>2.8</v>
      </c>
      <c r="J21" s="117">
        <f t="shared" ref="J21:K24" si="26">H21-D21</f>
        <v>-1.4</v>
      </c>
      <c r="K21" s="117">
        <f t="shared" si="26"/>
        <v>-1.2999999999999998</v>
      </c>
      <c r="L21" s="5">
        <v>0.7</v>
      </c>
      <c r="M21" s="5">
        <v>9.9</v>
      </c>
      <c r="N21" s="5">
        <v>1.3</v>
      </c>
      <c r="O21" s="5">
        <v>1.1579999999999999</v>
      </c>
      <c r="P21" s="120">
        <f t="shared" ref="P21:P29" si="27">L21-N21</f>
        <v>-0.60000000000000009</v>
      </c>
      <c r="Q21" s="120">
        <f>M21-O21</f>
        <v>8.7420000000000009</v>
      </c>
      <c r="R21" s="6">
        <v>3.6</v>
      </c>
      <c r="S21" s="6">
        <v>2.8</v>
      </c>
      <c r="T21" s="117">
        <f t="shared" ref="T21:U24" si="28">R21-N21</f>
        <v>2.2999999999999998</v>
      </c>
      <c r="U21" s="117">
        <f t="shared" si="28"/>
        <v>1.6419999999999999</v>
      </c>
      <c r="V21" s="5">
        <f t="shared" ref="V21:V29" si="29">B21+L21</f>
        <v>6</v>
      </c>
      <c r="W21" s="5">
        <f t="shared" ref="W21:W29" si="30">C21+M21</f>
        <v>9.9</v>
      </c>
      <c r="X21" s="5">
        <v>6.3</v>
      </c>
      <c r="Y21" s="5">
        <v>5.258</v>
      </c>
      <c r="Z21" s="4">
        <f t="shared" ref="Z21:AA24" si="31">V21-X21</f>
        <v>-0.29999999999999982</v>
      </c>
      <c r="AA21" s="4">
        <f t="shared" si="31"/>
        <v>4.6420000000000003</v>
      </c>
      <c r="AB21" s="195">
        <v>4.8</v>
      </c>
      <c r="AC21" s="195">
        <v>3.8</v>
      </c>
      <c r="AD21" s="196">
        <f>AB21-V21</f>
        <v>-1.2000000000000002</v>
      </c>
      <c r="AE21" s="196">
        <f>AC21-Y21</f>
        <v>-1.4580000000000002</v>
      </c>
      <c r="AF21" s="197">
        <v>0.3</v>
      </c>
      <c r="AG21" s="197">
        <v>0</v>
      </c>
      <c r="AH21" s="5">
        <v>0.3</v>
      </c>
      <c r="AI21" s="5">
        <v>0.26700000000000002</v>
      </c>
      <c r="AJ21" s="8">
        <f t="shared" ref="AJ21:AJ29" si="32">D21+N21+AH21</f>
        <v>6.6</v>
      </c>
      <c r="AK21" s="8">
        <f t="shared" ref="AK21:AK29" si="33">E21+O21+AI21</f>
        <v>5.5249999999999995</v>
      </c>
      <c r="AL21" s="4">
        <f t="shared" ref="AL21:AL29" si="34">V21+AF21</f>
        <v>6.3</v>
      </c>
      <c r="AM21" s="4">
        <f t="shared" ref="AM21:AM29" si="35">W21+AG21</f>
        <v>9.9</v>
      </c>
      <c r="AN21" s="192">
        <f t="shared" ref="AN21:AN29" si="36">AL21-AJ21</f>
        <v>-0.29999999999999982</v>
      </c>
      <c r="AO21" s="192">
        <f t="shared" ref="AO21:AO29" si="37">AM21-AK21</f>
        <v>4.3750000000000009</v>
      </c>
      <c r="AP21" s="5">
        <v>4.7</v>
      </c>
      <c r="AQ21" s="5">
        <v>4.1900000000000004</v>
      </c>
      <c r="AR21" s="8">
        <f>D21+N21+AJ21+AP21</f>
        <v>17.599999999999998</v>
      </c>
      <c r="AS21" s="8">
        <f>E21+O21+AI21+AQ21</f>
        <v>9.7149999999999999</v>
      </c>
      <c r="AT21" s="4">
        <v>11</v>
      </c>
      <c r="AU21" s="4">
        <v>9.9</v>
      </c>
      <c r="AV21" s="192">
        <f t="shared" ref="AV21:AV29" si="38">AT21-AR21</f>
        <v>-6.5999999999999979</v>
      </c>
      <c r="AW21" s="237">
        <f t="shared" ref="AW21:AW29" si="39">AU21-AS21</f>
        <v>0.1850000000000005</v>
      </c>
      <c r="AX21" s="216">
        <v>9.5</v>
      </c>
      <c r="AY21" s="216">
        <v>11</v>
      </c>
    </row>
    <row r="22" spans="1:52" ht="15.75" thickBot="1" x14ac:dyDescent="0.3">
      <c r="A22" s="116" t="s">
        <v>121</v>
      </c>
      <c r="B22" s="5">
        <v>7.7</v>
      </c>
      <c r="C22" s="5"/>
      <c r="D22" s="5">
        <v>7.3</v>
      </c>
      <c r="E22" s="5">
        <v>5.5</v>
      </c>
      <c r="F22" s="20">
        <f t="shared" si="25"/>
        <v>0.40000000000000036</v>
      </c>
      <c r="G22" s="20"/>
      <c r="H22" s="6">
        <v>6.2</v>
      </c>
      <c r="I22" s="6">
        <v>4.4000000000000004</v>
      </c>
      <c r="J22" s="117">
        <f t="shared" si="26"/>
        <v>-1.0999999999999996</v>
      </c>
      <c r="K22" s="117">
        <f t="shared" si="26"/>
        <v>-1.0999999999999996</v>
      </c>
      <c r="L22" s="5">
        <v>1.8</v>
      </c>
      <c r="M22" s="5">
        <v>14.4</v>
      </c>
      <c r="N22" s="5">
        <v>1.8</v>
      </c>
      <c r="O22" s="5">
        <v>1.3680000000000001</v>
      </c>
      <c r="P22" s="120">
        <f t="shared" si="27"/>
        <v>0</v>
      </c>
      <c r="Q22" s="120">
        <f>M22-O22</f>
        <v>13.032</v>
      </c>
      <c r="R22" s="6">
        <v>6.2</v>
      </c>
      <c r="S22" s="6">
        <v>4.4000000000000004</v>
      </c>
      <c r="T22" s="117">
        <f t="shared" si="28"/>
        <v>4.4000000000000004</v>
      </c>
      <c r="U22" s="117">
        <f t="shared" si="28"/>
        <v>3.032</v>
      </c>
      <c r="V22" s="5">
        <f t="shared" si="29"/>
        <v>9.5</v>
      </c>
      <c r="W22" s="5">
        <f t="shared" si="30"/>
        <v>14.4</v>
      </c>
      <c r="X22" s="5">
        <v>9.1</v>
      </c>
      <c r="Y22" s="5">
        <v>6.8680000000000003</v>
      </c>
      <c r="Z22" s="4">
        <f t="shared" si="31"/>
        <v>0.40000000000000036</v>
      </c>
      <c r="AA22" s="4">
        <f t="shared" si="31"/>
        <v>7.532</v>
      </c>
      <c r="AB22" s="195">
        <v>9</v>
      </c>
      <c r="AC22" s="195">
        <v>6.3</v>
      </c>
      <c r="AD22" s="196">
        <f>AB22-X22</f>
        <v>-9.9999999999999645E-2</v>
      </c>
      <c r="AE22" s="196">
        <f>AC22-Y22</f>
        <v>-0.5680000000000005</v>
      </c>
      <c r="AF22" s="197">
        <v>0.4</v>
      </c>
      <c r="AG22" s="197">
        <v>0</v>
      </c>
      <c r="AH22" s="5">
        <v>0.4</v>
      </c>
      <c r="AI22" s="5">
        <v>0.36</v>
      </c>
      <c r="AJ22" s="8">
        <f t="shared" si="32"/>
        <v>9.5</v>
      </c>
      <c r="AK22" s="8">
        <f t="shared" si="33"/>
        <v>7.2280000000000006</v>
      </c>
      <c r="AL22" s="4">
        <f t="shared" si="34"/>
        <v>9.9</v>
      </c>
      <c r="AM22" s="4">
        <f t="shared" si="35"/>
        <v>14.4</v>
      </c>
      <c r="AN22" s="192">
        <f t="shared" si="36"/>
        <v>0.40000000000000036</v>
      </c>
      <c r="AO22" s="192">
        <f t="shared" si="37"/>
        <v>7.1719999999999997</v>
      </c>
      <c r="AP22" s="5">
        <v>6.1</v>
      </c>
      <c r="AQ22" s="5">
        <v>5.49</v>
      </c>
      <c r="AR22" s="8">
        <f>D22+N22+AH22+AP22</f>
        <v>15.6</v>
      </c>
      <c r="AS22" s="8">
        <f>E22+O22+AI22+AQ22</f>
        <v>12.718</v>
      </c>
      <c r="AT22" s="4">
        <v>16</v>
      </c>
      <c r="AU22" s="4">
        <v>14.4</v>
      </c>
      <c r="AV22" s="192">
        <f t="shared" si="38"/>
        <v>0.40000000000000036</v>
      </c>
      <c r="AW22" s="237">
        <f t="shared" si="39"/>
        <v>1.6820000000000004</v>
      </c>
      <c r="AX22" s="216">
        <v>15.9</v>
      </c>
      <c r="AY22" s="216">
        <v>19</v>
      </c>
    </row>
    <row r="23" spans="1:52" ht="15.75" thickBot="1" x14ac:dyDescent="0.3">
      <c r="A23" s="116" t="s">
        <v>52</v>
      </c>
      <c r="B23" s="5">
        <v>10.7</v>
      </c>
      <c r="C23" s="5"/>
      <c r="D23" s="5">
        <v>9.6999999999999993</v>
      </c>
      <c r="E23" s="5">
        <v>8</v>
      </c>
      <c r="F23" s="20">
        <f t="shared" si="25"/>
        <v>1</v>
      </c>
      <c r="G23" s="20"/>
      <c r="H23" s="6">
        <v>5.6</v>
      </c>
      <c r="I23" s="6">
        <v>4.2</v>
      </c>
      <c r="J23" s="117">
        <f t="shared" si="26"/>
        <v>-4.0999999999999996</v>
      </c>
      <c r="K23" s="117">
        <f t="shared" si="26"/>
        <v>-3.8</v>
      </c>
      <c r="L23" s="5">
        <v>1.8</v>
      </c>
      <c r="M23" s="5">
        <v>18</v>
      </c>
      <c r="N23" s="5">
        <v>2.6</v>
      </c>
      <c r="O23" s="5">
        <v>2.145</v>
      </c>
      <c r="P23" s="120">
        <f t="shared" si="27"/>
        <v>-0.8</v>
      </c>
      <c r="Q23" s="120">
        <f>M23-O23</f>
        <v>15.855</v>
      </c>
      <c r="R23" s="6">
        <v>5.6</v>
      </c>
      <c r="S23" s="6">
        <v>4.2</v>
      </c>
      <c r="T23" s="117">
        <f t="shared" si="28"/>
        <v>2.9999999999999996</v>
      </c>
      <c r="U23" s="117">
        <f t="shared" si="28"/>
        <v>2.0550000000000002</v>
      </c>
      <c r="V23" s="5">
        <f t="shared" si="29"/>
        <v>12.5</v>
      </c>
      <c r="W23" s="5">
        <f t="shared" si="30"/>
        <v>18</v>
      </c>
      <c r="X23" s="5">
        <v>12.3</v>
      </c>
      <c r="Y23" s="5">
        <v>10.145</v>
      </c>
      <c r="Z23" s="4">
        <f t="shared" si="31"/>
        <v>0.19999999999999929</v>
      </c>
      <c r="AA23" s="4">
        <f t="shared" si="31"/>
        <v>7.8550000000000004</v>
      </c>
      <c r="AB23" s="195">
        <v>8.3000000000000007</v>
      </c>
      <c r="AC23" s="195">
        <v>6.22</v>
      </c>
      <c r="AD23" s="196">
        <f>AB23-X23</f>
        <v>-4</v>
      </c>
      <c r="AE23" s="196">
        <f>AC23-Y23</f>
        <v>-3.9249999999999998</v>
      </c>
      <c r="AF23" s="197">
        <v>0.4</v>
      </c>
      <c r="AG23" s="197">
        <v>0</v>
      </c>
      <c r="AH23" s="5">
        <v>0.7</v>
      </c>
      <c r="AI23" s="5">
        <v>0.63</v>
      </c>
      <c r="AJ23" s="8">
        <f t="shared" si="32"/>
        <v>12.999999999999998</v>
      </c>
      <c r="AK23" s="8">
        <f t="shared" si="33"/>
        <v>10.775</v>
      </c>
      <c r="AL23" s="4">
        <f t="shared" si="34"/>
        <v>12.9</v>
      </c>
      <c r="AM23" s="4">
        <f t="shared" si="35"/>
        <v>18</v>
      </c>
      <c r="AN23" s="192">
        <f t="shared" si="36"/>
        <v>-9.9999999999997868E-2</v>
      </c>
      <c r="AO23" s="192">
        <f t="shared" si="37"/>
        <v>7.2249999999999996</v>
      </c>
      <c r="AP23" s="5"/>
      <c r="AQ23" s="5"/>
      <c r="AR23" s="8">
        <f>D23+N23+AH23+AP23</f>
        <v>12.999999999999998</v>
      </c>
      <c r="AS23" s="8">
        <f>E23+O23+AI23+AQ23</f>
        <v>10.775</v>
      </c>
      <c r="AT23" s="4">
        <v>20</v>
      </c>
      <c r="AU23" s="4">
        <v>18</v>
      </c>
      <c r="AV23" s="192">
        <f t="shared" si="38"/>
        <v>7.0000000000000018</v>
      </c>
      <c r="AW23" s="237">
        <f t="shared" si="39"/>
        <v>7.2249999999999996</v>
      </c>
      <c r="AX23" s="216">
        <v>16</v>
      </c>
      <c r="AY23" s="216">
        <v>20.8</v>
      </c>
    </row>
    <row r="24" spans="1:52" ht="15.75" thickBot="1" x14ac:dyDescent="0.3">
      <c r="A24" s="116" t="s">
        <v>122</v>
      </c>
      <c r="B24" s="5">
        <v>12.1</v>
      </c>
      <c r="C24" s="5"/>
      <c r="D24" s="5">
        <v>11.2</v>
      </c>
      <c r="E24" s="5">
        <v>9.1999999999999993</v>
      </c>
      <c r="F24" s="20">
        <f t="shared" si="25"/>
        <v>0.90000000000000036</v>
      </c>
      <c r="G24" s="20"/>
      <c r="H24" s="6">
        <v>9.6</v>
      </c>
      <c r="I24" s="6">
        <v>6.7</v>
      </c>
      <c r="J24" s="117">
        <f t="shared" si="26"/>
        <v>-1.5999999999999996</v>
      </c>
      <c r="K24" s="117">
        <f t="shared" si="26"/>
        <v>-2.4999999999999991</v>
      </c>
      <c r="L24" s="5">
        <v>3</v>
      </c>
      <c r="M24" s="5">
        <v>0</v>
      </c>
      <c r="N24" s="5">
        <v>3.8</v>
      </c>
      <c r="O24" s="5">
        <v>3.1309999999999998</v>
      </c>
      <c r="P24" s="120">
        <f t="shared" si="27"/>
        <v>-0.79999999999999982</v>
      </c>
      <c r="Q24" s="120">
        <f>M24-O24</f>
        <v>-3.1309999999999998</v>
      </c>
      <c r="R24" s="6">
        <v>9.6</v>
      </c>
      <c r="S24" s="6">
        <v>6.7</v>
      </c>
      <c r="T24" s="117">
        <f t="shared" si="28"/>
        <v>5.8</v>
      </c>
      <c r="U24" s="117">
        <f t="shared" si="28"/>
        <v>3.5690000000000004</v>
      </c>
      <c r="V24" s="5">
        <f t="shared" si="29"/>
        <v>15.1</v>
      </c>
      <c r="W24" s="5">
        <f t="shared" si="30"/>
        <v>0</v>
      </c>
      <c r="X24" s="5">
        <v>15</v>
      </c>
      <c r="Y24" s="5">
        <v>12.331</v>
      </c>
      <c r="Z24" s="4">
        <f t="shared" si="31"/>
        <v>9.9999999999999645E-2</v>
      </c>
      <c r="AA24" s="4">
        <f t="shared" si="31"/>
        <v>-12.331</v>
      </c>
      <c r="AB24" s="195">
        <v>14.7</v>
      </c>
      <c r="AC24" s="195">
        <v>10.3</v>
      </c>
      <c r="AD24" s="196">
        <f>AB24-X24</f>
        <v>-0.30000000000000071</v>
      </c>
      <c r="AE24" s="196">
        <f>AC24-Y24</f>
        <v>-2.0309999999999988</v>
      </c>
      <c r="AF24" s="197">
        <v>0.7</v>
      </c>
      <c r="AG24" s="197">
        <v>22.5</v>
      </c>
      <c r="AH24" s="5">
        <v>0.3</v>
      </c>
      <c r="AI24" s="5">
        <v>0.27</v>
      </c>
      <c r="AJ24" s="8">
        <f t="shared" si="32"/>
        <v>15.3</v>
      </c>
      <c r="AK24" s="8">
        <f t="shared" si="33"/>
        <v>12.600999999999999</v>
      </c>
      <c r="AL24" s="4">
        <f t="shared" si="34"/>
        <v>15.799999999999999</v>
      </c>
      <c r="AM24" s="4">
        <f t="shared" si="35"/>
        <v>22.5</v>
      </c>
      <c r="AN24" s="192">
        <f t="shared" si="36"/>
        <v>0.49999999999999822</v>
      </c>
      <c r="AO24" s="192">
        <f t="shared" si="37"/>
        <v>9.8990000000000009</v>
      </c>
      <c r="AP24" s="5">
        <v>9.1999999999999993</v>
      </c>
      <c r="AQ24" s="5">
        <v>8.3000000000000007</v>
      </c>
      <c r="AR24" s="8">
        <f>D24+N24+AH24+AP24</f>
        <v>24.5</v>
      </c>
      <c r="AS24" s="8">
        <f>E24+O24+AI24+AQ24</f>
        <v>20.901</v>
      </c>
      <c r="AT24" s="4">
        <v>25</v>
      </c>
      <c r="AU24" s="4">
        <v>22.5</v>
      </c>
      <c r="AV24" s="192">
        <f t="shared" si="38"/>
        <v>0.5</v>
      </c>
      <c r="AW24" s="237">
        <f t="shared" si="39"/>
        <v>1.5990000000000002</v>
      </c>
      <c r="AX24" s="216">
        <v>24.7</v>
      </c>
      <c r="AY24" s="216">
        <v>25</v>
      </c>
    </row>
    <row r="25" spans="1:52" ht="15.75" thickBot="1" x14ac:dyDescent="0.3">
      <c r="A25" s="116" t="s">
        <v>123</v>
      </c>
      <c r="B25" s="5"/>
      <c r="C25" s="5"/>
      <c r="D25" s="5"/>
      <c r="E25" s="5"/>
      <c r="F25" s="20">
        <f t="shared" si="25"/>
        <v>0</v>
      </c>
      <c r="G25" s="20"/>
      <c r="H25" s="6"/>
      <c r="I25" s="6"/>
      <c r="J25" s="117"/>
      <c r="K25" s="117"/>
      <c r="L25" s="5"/>
      <c r="M25" s="5"/>
      <c r="N25" s="5"/>
      <c r="O25" s="5"/>
      <c r="P25" s="120">
        <f t="shared" si="27"/>
        <v>0</v>
      </c>
      <c r="Q25" s="120"/>
      <c r="R25" s="6"/>
      <c r="S25" s="6"/>
      <c r="T25" s="117"/>
      <c r="U25" s="117"/>
      <c r="V25" s="5">
        <f t="shared" si="29"/>
        <v>0</v>
      </c>
      <c r="W25" s="5">
        <f t="shared" si="30"/>
        <v>0</v>
      </c>
      <c r="X25" s="5"/>
      <c r="Y25" s="5"/>
      <c r="Z25" s="4"/>
      <c r="AA25" s="4"/>
      <c r="AB25" s="195"/>
      <c r="AC25" s="195"/>
      <c r="AD25" s="196"/>
      <c r="AE25" s="196"/>
      <c r="AF25" s="197"/>
      <c r="AG25" s="197"/>
      <c r="AH25" s="5"/>
      <c r="AI25" s="5"/>
      <c r="AJ25" s="8">
        <f t="shared" si="32"/>
        <v>0</v>
      </c>
      <c r="AK25" s="8">
        <f t="shared" si="33"/>
        <v>0</v>
      </c>
      <c r="AL25" s="4">
        <f t="shared" si="34"/>
        <v>0</v>
      </c>
      <c r="AM25" s="4">
        <f t="shared" si="35"/>
        <v>0</v>
      </c>
      <c r="AN25" s="192">
        <f t="shared" si="36"/>
        <v>0</v>
      </c>
      <c r="AO25" s="192">
        <f t="shared" si="37"/>
        <v>0</v>
      </c>
      <c r="AP25" s="5"/>
      <c r="AQ25" s="5"/>
      <c r="AR25" s="8"/>
      <c r="AS25" s="8"/>
      <c r="AT25" s="4"/>
      <c r="AU25" s="4"/>
      <c r="AV25" s="192">
        <f t="shared" si="38"/>
        <v>0</v>
      </c>
      <c r="AW25" s="237">
        <f t="shared" si="39"/>
        <v>0</v>
      </c>
      <c r="AX25" s="216"/>
      <c r="AY25" s="216">
        <v>18</v>
      </c>
    </row>
    <row r="26" spans="1:52" ht="15.75" thickBot="1" x14ac:dyDescent="0.3">
      <c r="A26" s="116" t="s">
        <v>124</v>
      </c>
      <c r="B26" s="5">
        <v>35</v>
      </c>
      <c r="C26" s="5"/>
      <c r="D26" s="5">
        <v>32.4</v>
      </c>
      <c r="E26" s="5">
        <v>27.3</v>
      </c>
      <c r="F26" s="20">
        <f t="shared" si="25"/>
        <v>2.6000000000000014</v>
      </c>
      <c r="G26" s="20"/>
      <c r="H26" s="6">
        <v>12.5</v>
      </c>
      <c r="I26" s="6">
        <v>9.5</v>
      </c>
      <c r="J26" s="117">
        <f t="shared" ref="J26:K30" si="40">H26-D26</f>
        <v>-19.899999999999999</v>
      </c>
      <c r="K26" s="117">
        <f t="shared" si="40"/>
        <v>-17.8</v>
      </c>
      <c r="L26" s="5">
        <v>4.5</v>
      </c>
      <c r="M26" s="5">
        <v>0</v>
      </c>
      <c r="N26" s="5">
        <v>11</v>
      </c>
      <c r="O26" s="5">
        <v>9.7040000000000006</v>
      </c>
      <c r="P26" s="120">
        <f t="shared" si="27"/>
        <v>-6.5</v>
      </c>
      <c r="Q26" s="120">
        <f>M26-O26</f>
        <v>-9.7040000000000006</v>
      </c>
      <c r="R26" s="6">
        <v>12.5</v>
      </c>
      <c r="S26" s="6">
        <v>9.5</v>
      </c>
      <c r="T26" s="117">
        <f t="shared" ref="T26:U30" si="41">R26-N26</f>
        <v>1.5</v>
      </c>
      <c r="U26" s="117">
        <f t="shared" si="41"/>
        <v>-0.20400000000000063</v>
      </c>
      <c r="V26" s="5">
        <f t="shared" si="29"/>
        <v>39.5</v>
      </c>
      <c r="W26" s="5">
        <f t="shared" si="30"/>
        <v>0</v>
      </c>
      <c r="X26" s="5">
        <v>43.4</v>
      </c>
      <c r="Y26" s="5">
        <v>37.003999999999998</v>
      </c>
      <c r="Z26" s="4">
        <f t="shared" ref="Z26:AA28" si="42">V26-X26</f>
        <v>-3.8999999999999986</v>
      </c>
      <c r="AA26" s="4">
        <f t="shared" si="42"/>
        <v>-37.003999999999998</v>
      </c>
      <c r="AB26" s="195">
        <v>19.100000000000001</v>
      </c>
      <c r="AC26" s="195">
        <v>14.51</v>
      </c>
      <c r="AD26" s="196">
        <f t="shared" ref="AD26:AE30" si="43">AB26-X26</f>
        <v>-24.299999999999997</v>
      </c>
      <c r="AE26" s="196">
        <f t="shared" si="43"/>
        <v>-22.494</v>
      </c>
      <c r="AF26" s="197">
        <v>2.5</v>
      </c>
      <c r="AG26" s="197">
        <v>66.599999999999994</v>
      </c>
      <c r="AH26" s="5">
        <v>2.5</v>
      </c>
      <c r="AI26" s="5">
        <v>2.206</v>
      </c>
      <c r="AJ26" s="8">
        <f t="shared" si="32"/>
        <v>45.9</v>
      </c>
      <c r="AK26" s="8">
        <f t="shared" si="33"/>
        <v>39.210000000000008</v>
      </c>
      <c r="AL26" s="4">
        <f t="shared" si="34"/>
        <v>42</v>
      </c>
      <c r="AM26" s="4">
        <f t="shared" si="35"/>
        <v>66.599999999999994</v>
      </c>
      <c r="AN26" s="192">
        <f t="shared" si="36"/>
        <v>-3.8999999999999986</v>
      </c>
      <c r="AO26" s="192">
        <f t="shared" si="37"/>
        <v>27.389999999999986</v>
      </c>
      <c r="AP26" s="5">
        <v>32</v>
      </c>
      <c r="AQ26" s="5">
        <v>28.23</v>
      </c>
      <c r="AR26" s="8">
        <f t="shared" ref="AR26:AS29" si="44">D26+N26+AH26+AP26</f>
        <v>77.900000000000006</v>
      </c>
      <c r="AS26" s="8">
        <f t="shared" si="44"/>
        <v>67.440000000000012</v>
      </c>
      <c r="AT26" s="4">
        <v>74</v>
      </c>
      <c r="AU26" s="4">
        <v>66.599999999999994</v>
      </c>
      <c r="AV26" s="192">
        <f t="shared" si="38"/>
        <v>-3.9000000000000057</v>
      </c>
      <c r="AW26" s="237">
        <f t="shared" si="39"/>
        <v>-0.84000000000001762</v>
      </c>
      <c r="AX26" s="216">
        <v>49.7</v>
      </c>
      <c r="AY26" s="216">
        <v>30.5</v>
      </c>
    </row>
    <row r="27" spans="1:52" ht="15.75" thickBot="1" x14ac:dyDescent="0.3">
      <c r="A27" s="116" t="s">
        <v>125</v>
      </c>
      <c r="B27" s="5">
        <v>5.7</v>
      </c>
      <c r="C27" s="5"/>
      <c r="D27" s="5">
        <v>5.5</v>
      </c>
      <c r="E27" s="5">
        <v>4.5999999999999996</v>
      </c>
      <c r="F27" s="20">
        <f t="shared" si="25"/>
        <v>0.20000000000000018</v>
      </c>
      <c r="G27" s="20"/>
      <c r="H27" s="6">
        <v>5</v>
      </c>
      <c r="I27" s="6">
        <v>3.5</v>
      </c>
      <c r="J27" s="117">
        <f t="shared" si="40"/>
        <v>-0.5</v>
      </c>
      <c r="K27" s="117">
        <f t="shared" si="40"/>
        <v>-1.0999999999999996</v>
      </c>
      <c r="L27" s="5">
        <v>1</v>
      </c>
      <c r="M27" s="5">
        <v>0.9</v>
      </c>
      <c r="N27" s="5">
        <v>1.5</v>
      </c>
      <c r="O27" s="5">
        <v>1.25</v>
      </c>
      <c r="P27" s="120">
        <f t="shared" si="27"/>
        <v>-0.5</v>
      </c>
      <c r="Q27" s="120">
        <f>M27-O27</f>
        <v>-0.35</v>
      </c>
      <c r="R27" s="6">
        <v>5</v>
      </c>
      <c r="S27" s="6">
        <v>3.5</v>
      </c>
      <c r="T27" s="117">
        <f t="shared" si="41"/>
        <v>3.5</v>
      </c>
      <c r="U27" s="117">
        <f t="shared" si="41"/>
        <v>2.25</v>
      </c>
      <c r="V27" s="5">
        <f t="shared" si="29"/>
        <v>6.7</v>
      </c>
      <c r="W27" s="5">
        <f t="shared" si="30"/>
        <v>0.9</v>
      </c>
      <c r="X27" s="5">
        <v>7</v>
      </c>
      <c r="Y27" s="5">
        <v>5.85</v>
      </c>
      <c r="Z27" s="4">
        <f t="shared" si="42"/>
        <v>-0.29999999999999982</v>
      </c>
      <c r="AA27" s="4">
        <f t="shared" si="42"/>
        <v>-4.9499999999999993</v>
      </c>
      <c r="AB27" s="195">
        <v>7.4</v>
      </c>
      <c r="AC27" s="195">
        <v>5.2</v>
      </c>
      <c r="AD27" s="196">
        <f t="shared" si="43"/>
        <v>0.40000000000000036</v>
      </c>
      <c r="AE27" s="196">
        <f t="shared" si="43"/>
        <v>-0.64999999999999947</v>
      </c>
      <c r="AF27" s="197">
        <v>0.3</v>
      </c>
      <c r="AG27" s="197">
        <v>0</v>
      </c>
      <c r="AH27" s="5"/>
      <c r="AI27" s="5"/>
      <c r="AJ27" s="8">
        <f t="shared" si="32"/>
        <v>7</v>
      </c>
      <c r="AK27" s="8">
        <f t="shared" si="33"/>
        <v>5.85</v>
      </c>
      <c r="AL27" s="4">
        <f t="shared" si="34"/>
        <v>7</v>
      </c>
      <c r="AM27" s="4">
        <f t="shared" si="35"/>
        <v>0.9</v>
      </c>
      <c r="AN27" s="192">
        <f t="shared" si="36"/>
        <v>0</v>
      </c>
      <c r="AO27" s="192">
        <f t="shared" si="37"/>
        <v>-4.9499999999999993</v>
      </c>
      <c r="AP27" s="5">
        <v>5</v>
      </c>
      <c r="AQ27" s="5">
        <v>4.5</v>
      </c>
      <c r="AR27" s="8">
        <f t="shared" si="44"/>
        <v>12</v>
      </c>
      <c r="AS27" s="8">
        <f t="shared" si="44"/>
        <v>10.35</v>
      </c>
      <c r="AT27" s="4">
        <v>12</v>
      </c>
      <c r="AU27" s="4">
        <v>10.8</v>
      </c>
      <c r="AV27" s="192">
        <f t="shared" si="38"/>
        <v>0</v>
      </c>
      <c r="AW27" s="237">
        <f t="shared" si="39"/>
        <v>0.45000000000000107</v>
      </c>
      <c r="AX27" s="216">
        <v>12.4</v>
      </c>
      <c r="AY27" s="216">
        <v>18</v>
      </c>
    </row>
    <row r="28" spans="1:52" ht="15.75" thickBot="1" x14ac:dyDescent="0.3">
      <c r="A28" s="116" t="s">
        <v>126</v>
      </c>
      <c r="B28" s="5">
        <v>25.4</v>
      </c>
      <c r="C28" s="5"/>
      <c r="D28" s="5">
        <v>23.3</v>
      </c>
      <c r="E28" s="5">
        <v>18.5</v>
      </c>
      <c r="F28" s="20">
        <f t="shared" si="25"/>
        <v>2.0999999999999979</v>
      </c>
      <c r="G28" s="20"/>
      <c r="H28" s="6">
        <v>18.600000000000001</v>
      </c>
      <c r="I28" s="6">
        <v>13.6</v>
      </c>
      <c r="J28" s="117">
        <f t="shared" si="40"/>
        <v>-4.6999999999999993</v>
      </c>
      <c r="K28" s="117">
        <f t="shared" si="40"/>
        <v>-4.9000000000000004</v>
      </c>
      <c r="L28" s="5">
        <v>4.8</v>
      </c>
      <c r="M28" s="5">
        <v>0</v>
      </c>
      <c r="N28" s="5">
        <v>7</v>
      </c>
      <c r="O28" s="5">
        <v>5.5590000000000002</v>
      </c>
      <c r="P28" s="120">
        <f t="shared" si="27"/>
        <v>-2.2000000000000002</v>
      </c>
      <c r="Q28" s="120">
        <f>M28-O28</f>
        <v>-5.5590000000000002</v>
      </c>
      <c r="R28" s="6">
        <v>18.600000000000001</v>
      </c>
      <c r="S28" s="6">
        <v>13.6</v>
      </c>
      <c r="T28" s="117">
        <f t="shared" si="41"/>
        <v>11.600000000000001</v>
      </c>
      <c r="U28" s="117">
        <f t="shared" si="41"/>
        <v>8.0410000000000004</v>
      </c>
      <c r="V28" s="5">
        <f t="shared" si="29"/>
        <v>30.2</v>
      </c>
      <c r="W28" s="5">
        <f t="shared" si="30"/>
        <v>0</v>
      </c>
      <c r="X28" s="5">
        <v>30.3</v>
      </c>
      <c r="Y28" s="5">
        <v>24.059000000000001</v>
      </c>
      <c r="Z28" s="4">
        <f t="shared" si="42"/>
        <v>-0.10000000000000142</v>
      </c>
      <c r="AA28" s="4">
        <f t="shared" si="42"/>
        <v>-24.059000000000001</v>
      </c>
      <c r="AB28" s="195">
        <v>28.9</v>
      </c>
      <c r="AC28" s="195">
        <v>21.8</v>
      </c>
      <c r="AD28" s="196">
        <f t="shared" si="43"/>
        <v>-1.4000000000000021</v>
      </c>
      <c r="AE28" s="196">
        <f t="shared" si="43"/>
        <v>-2.2590000000000003</v>
      </c>
      <c r="AF28" s="197">
        <v>1.1000000000000001</v>
      </c>
      <c r="AG28" s="197">
        <v>45</v>
      </c>
      <c r="AH28" s="5">
        <v>1.1000000000000001</v>
      </c>
      <c r="AI28" s="5">
        <v>0.99</v>
      </c>
      <c r="AJ28" s="8">
        <f t="shared" si="32"/>
        <v>31.400000000000002</v>
      </c>
      <c r="AK28" s="8">
        <f t="shared" si="33"/>
        <v>25.048999999999999</v>
      </c>
      <c r="AL28" s="4">
        <f t="shared" si="34"/>
        <v>31.3</v>
      </c>
      <c r="AM28" s="4">
        <f t="shared" si="35"/>
        <v>45</v>
      </c>
      <c r="AN28" s="192">
        <f t="shared" si="36"/>
        <v>-0.10000000000000142</v>
      </c>
      <c r="AO28" s="192">
        <f t="shared" si="37"/>
        <v>19.951000000000001</v>
      </c>
      <c r="AP28" s="5">
        <v>18.7</v>
      </c>
      <c r="AQ28" s="5">
        <v>16.829999999999998</v>
      </c>
      <c r="AR28" s="8">
        <f t="shared" si="44"/>
        <v>50.1</v>
      </c>
      <c r="AS28" s="8">
        <f t="shared" si="44"/>
        <v>41.878999999999998</v>
      </c>
      <c r="AT28" s="4">
        <v>50</v>
      </c>
      <c r="AU28" s="4">
        <v>45</v>
      </c>
      <c r="AV28" s="192">
        <f t="shared" si="38"/>
        <v>-0.10000000000000142</v>
      </c>
      <c r="AW28" s="237">
        <f t="shared" si="39"/>
        <v>3.1210000000000022</v>
      </c>
      <c r="AX28" s="216">
        <v>48.6</v>
      </c>
      <c r="AY28" s="216">
        <v>40</v>
      </c>
    </row>
    <row r="29" spans="1:52" ht="15.75" thickBot="1" x14ac:dyDescent="0.3">
      <c r="A29" s="116" t="s">
        <v>127</v>
      </c>
      <c r="B29" s="5">
        <v>29</v>
      </c>
      <c r="C29" s="5"/>
      <c r="D29" s="5">
        <v>26.5</v>
      </c>
      <c r="E29" s="5">
        <v>22.1</v>
      </c>
      <c r="F29" s="20">
        <f t="shared" si="25"/>
        <v>2.5</v>
      </c>
      <c r="G29" s="20"/>
      <c r="H29" s="6">
        <v>21.4</v>
      </c>
      <c r="I29" s="6">
        <v>16.5</v>
      </c>
      <c r="J29" s="117">
        <f t="shared" si="40"/>
        <v>-5.1000000000000014</v>
      </c>
      <c r="K29" s="117">
        <f t="shared" si="40"/>
        <v>-5.6000000000000014</v>
      </c>
      <c r="L29" s="5">
        <v>6</v>
      </c>
      <c r="M29" s="5">
        <v>54</v>
      </c>
      <c r="N29" s="5">
        <v>8</v>
      </c>
      <c r="O29" s="5">
        <v>6.6630000000000003</v>
      </c>
      <c r="P29" s="120">
        <f t="shared" si="27"/>
        <v>-2</v>
      </c>
      <c r="Q29" s="120">
        <f>M29-O29</f>
        <v>47.337000000000003</v>
      </c>
      <c r="R29" s="6">
        <v>21.4</v>
      </c>
      <c r="S29" s="6">
        <v>16.5</v>
      </c>
      <c r="T29" s="117">
        <f t="shared" si="41"/>
        <v>13.399999999999999</v>
      </c>
      <c r="U29" s="117">
        <f t="shared" si="41"/>
        <v>9.8369999999999997</v>
      </c>
      <c r="V29" s="5">
        <f t="shared" si="29"/>
        <v>35</v>
      </c>
      <c r="W29" s="5">
        <f t="shared" si="30"/>
        <v>54</v>
      </c>
      <c r="X29" s="5">
        <v>34.5</v>
      </c>
      <c r="Y29" s="5">
        <v>28.763000000000002</v>
      </c>
      <c r="Z29" s="4">
        <f>V29-X29</f>
        <v>0.5</v>
      </c>
      <c r="AA29" s="4">
        <f>W29-Y29</f>
        <v>25.236999999999998</v>
      </c>
      <c r="AB29" s="195">
        <v>34</v>
      </c>
      <c r="AC29" s="195">
        <v>27.3</v>
      </c>
      <c r="AD29" s="196">
        <f t="shared" si="43"/>
        <v>-0.5</v>
      </c>
      <c r="AE29" s="196">
        <f t="shared" si="43"/>
        <v>-1.463000000000001</v>
      </c>
      <c r="AF29" s="197">
        <v>2</v>
      </c>
      <c r="AG29" s="197">
        <v>0</v>
      </c>
      <c r="AH29" s="5">
        <v>2</v>
      </c>
      <c r="AI29" s="5">
        <v>1.8</v>
      </c>
      <c r="AJ29" s="8">
        <f t="shared" si="32"/>
        <v>36.5</v>
      </c>
      <c r="AK29" s="8">
        <f t="shared" si="33"/>
        <v>30.563000000000002</v>
      </c>
      <c r="AL29" s="4">
        <f t="shared" si="34"/>
        <v>37</v>
      </c>
      <c r="AM29" s="4">
        <f t="shared" si="35"/>
        <v>54</v>
      </c>
      <c r="AN29" s="192">
        <f t="shared" si="36"/>
        <v>0.5</v>
      </c>
      <c r="AO29" s="192">
        <f t="shared" si="37"/>
        <v>23.436999999999998</v>
      </c>
      <c r="AP29" s="5">
        <v>23</v>
      </c>
      <c r="AQ29" s="5">
        <v>20.7</v>
      </c>
      <c r="AR29" s="8">
        <f t="shared" si="44"/>
        <v>59.5</v>
      </c>
      <c r="AS29" s="8">
        <f t="shared" si="44"/>
        <v>51.263000000000005</v>
      </c>
      <c r="AT29" s="4">
        <v>60</v>
      </c>
      <c r="AU29" s="4">
        <v>54</v>
      </c>
      <c r="AV29" s="192">
        <f t="shared" si="38"/>
        <v>0.5</v>
      </c>
      <c r="AW29" s="237">
        <f t="shared" si="39"/>
        <v>2.7369999999999948</v>
      </c>
      <c r="AX29" s="216">
        <v>57.5</v>
      </c>
      <c r="AY29" s="216">
        <v>60</v>
      </c>
    </row>
    <row r="30" spans="1:52" s="36" customFormat="1" ht="16.5" thickBot="1" x14ac:dyDescent="0.3">
      <c r="A30" s="35" t="s">
        <v>92</v>
      </c>
      <c r="B30" s="13">
        <f t="shared" ref="B30:G30" si="45">SUM(B21:B29)</f>
        <v>130.9</v>
      </c>
      <c r="C30" s="13">
        <f t="shared" si="45"/>
        <v>0</v>
      </c>
      <c r="D30" s="13">
        <f t="shared" si="45"/>
        <v>120.89999999999999</v>
      </c>
      <c r="E30" s="13">
        <f t="shared" si="45"/>
        <v>99.300000000000011</v>
      </c>
      <c r="F30" s="13">
        <f t="shared" si="45"/>
        <v>10</v>
      </c>
      <c r="G30" s="13">
        <f t="shared" si="45"/>
        <v>0</v>
      </c>
      <c r="H30" s="13">
        <v>82.5</v>
      </c>
      <c r="I30" s="13">
        <v>61.2</v>
      </c>
      <c r="J30" s="13">
        <f t="shared" si="40"/>
        <v>-38.399999999999991</v>
      </c>
      <c r="K30" s="13">
        <f t="shared" si="40"/>
        <v>-38.100000000000009</v>
      </c>
      <c r="L30" s="13">
        <f t="shared" ref="L30:Q30" si="46">SUM(L21:L29)</f>
        <v>23.6</v>
      </c>
      <c r="M30" s="13">
        <f t="shared" si="46"/>
        <v>97.199999999999989</v>
      </c>
      <c r="N30" s="13">
        <f t="shared" si="46"/>
        <v>37</v>
      </c>
      <c r="O30" s="13">
        <f t="shared" si="46"/>
        <v>30.978000000000002</v>
      </c>
      <c r="P30" s="13">
        <f t="shared" si="46"/>
        <v>-13.399999999999999</v>
      </c>
      <c r="Q30" s="13">
        <f t="shared" si="46"/>
        <v>66.222000000000008</v>
      </c>
      <c r="R30" s="13">
        <v>82.5</v>
      </c>
      <c r="S30" s="13">
        <v>61.2</v>
      </c>
      <c r="T30" s="13">
        <f t="shared" si="41"/>
        <v>45.5</v>
      </c>
      <c r="U30" s="13">
        <f t="shared" si="41"/>
        <v>30.222000000000001</v>
      </c>
      <c r="V30" s="13">
        <f>SUM(V21:V29)</f>
        <v>154.5</v>
      </c>
      <c r="W30" s="13">
        <f>SUM(W21:W29)</f>
        <v>97.199999999999989</v>
      </c>
      <c r="X30" s="13">
        <f>SUM(X21:X29)</f>
        <v>157.89999999999998</v>
      </c>
      <c r="Y30" s="13">
        <f>SUM(Y21:Y29)</f>
        <v>130.27799999999999</v>
      </c>
      <c r="Z30" s="13">
        <f>V30-X30</f>
        <v>-3.3999999999999773</v>
      </c>
      <c r="AA30" s="13">
        <f>W30-Y30</f>
        <v>-33.078000000000003</v>
      </c>
      <c r="AB30" s="198">
        <v>126.2</v>
      </c>
      <c r="AC30" s="198">
        <v>95.43</v>
      </c>
      <c r="AD30" s="198">
        <f t="shared" si="43"/>
        <v>-31.699999999999974</v>
      </c>
      <c r="AE30" s="198">
        <f t="shared" si="43"/>
        <v>-34.847999999999985</v>
      </c>
      <c r="AF30" s="13">
        <f>SUM(AF21:AF29)</f>
        <v>7.6999999999999993</v>
      </c>
      <c r="AG30" s="13">
        <f t="shared" ref="AG30" si="47">SUM(AG21:AG29)</f>
        <v>134.1</v>
      </c>
      <c r="AH30" s="13">
        <f>SUM(AH21:AH29)</f>
        <v>7.3000000000000007</v>
      </c>
      <c r="AI30" s="13">
        <f>SUM(AI21:AI29)</f>
        <v>6.5229999999999997</v>
      </c>
      <c r="AJ30" s="13">
        <f>SUM(AJ21:AJ29)</f>
        <v>165.20000000000002</v>
      </c>
      <c r="AK30" s="13">
        <f>SUM(AK21:AK29)</f>
        <v>136.80099999999999</v>
      </c>
      <c r="AL30" s="13">
        <f t="shared" ref="AL30:AM30" si="48">SUM(AL21:AL29)</f>
        <v>162.19999999999999</v>
      </c>
      <c r="AM30" s="13">
        <f t="shared" si="48"/>
        <v>231.29999999999998</v>
      </c>
      <c r="AN30" s="13">
        <f>AJ30-AL30</f>
        <v>3.0000000000000284</v>
      </c>
      <c r="AO30" s="13">
        <f>AK30-AM30</f>
        <v>-94.498999999999995</v>
      </c>
      <c r="AP30" s="13">
        <f>SUM(AP21:AP29)</f>
        <v>98.7</v>
      </c>
      <c r="AQ30" s="13">
        <f>SUM(AQ21:AQ29)</f>
        <v>88.24</v>
      </c>
      <c r="AR30" s="13">
        <f>SUM(AR21:AR29)</f>
        <v>270.2</v>
      </c>
      <c r="AS30" s="13">
        <f>SUM(AS21:AS29)</f>
        <v>225.041</v>
      </c>
      <c r="AT30" s="13">
        <f t="shared" ref="AT30:AU30" si="49">SUM(AT21:AT29)</f>
        <v>268</v>
      </c>
      <c r="AU30" s="13">
        <f t="shared" si="49"/>
        <v>241.2</v>
      </c>
      <c r="AV30" s="13">
        <f>AT30-AR30</f>
        <v>-2.1999999999999886</v>
      </c>
      <c r="AW30" s="238">
        <f>AU30-AS30</f>
        <v>16.158999999999992</v>
      </c>
      <c r="AX30" s="217">
        <v>234.3</v>
      </c>
      <c r="AY30" s="217">
        <v>242.3</v>
      </c>
    </row>
    <row r="31" spans="1:52" ht="16.5" thickBot="1" x14ac:dyDescent="0.3">
      <c r="A31" s="123"/>
      <c r="B31" s="17"/>
      <c r="C31" s="17"/>
      <c r="D31" s="17"/>
      <c r="E31" s="5"/>
      <c r="F31" s="20"/>
      <c r="G31" s="20"/>
      <c r="H31" s="18"/>
      <c r="I31" s="6"/>
      <c r="J31" s="117"/>
      <c r="K31" s="117"/>
      <c r="L31" s="17"/>
      <c r="M31" s="17"/>
      <c r="N31" s="17"/>
      <c r="O31" s="5"/>
      <c r="P31" s="120"/>
      <c r="Q31" s="120"/>
      <c r="R31" s="18"/>
      <c r="S31" s="6"/>
      <c r="T31" s="117"/>
      <c r="U31" s="117"/>
      <c r="V31" s="5"/>
      <c r="W31" s="5"/>
      <c r="X31" s="5"/>
      <c r="Y31" s="5"/>
      <c r="Z31" s="4"/>
      <c r="AA31" s="4"/>
      <c r="AB31" s="195"/>
      <c r="AC31" s="195"/>
      <c r="AD31" s="196"/>
      <c r="AE31" s="196"/>
      <c r="AF31" s="197"/>
      <c r="AG31" s="197"/>
      <c r="AH31" s="5"/>
      <c r="AI31" s="5"/>
      <c r="AJ31" s="8"/>
      <c r="AK31" s="8"/>
      <c r="AL31" s="4"/>
      <c r="AM31" s="4"/>
      <c r="AN31" s="192"/>
      <c r="AO31" s="192"/>
      <c r="AP31" s="5"/>
      <c r="AQ31" s="5"/>
      <c r="AR31" s="8"/>
      <c r="AS31" s="8"/>
      <c r="AT31" s="4"/>
      <c r="AU31" s="4"/>
      <c r="AV31" s="192"/>
      <c r="AW31" s="237"/>
      <c r="AX31" s="216"/>
      <c r="AY31" s="216"/>
    </row>
    <row r="32" spans="1:52" ht="15.75" thickBot="1" x14ac:dyDescent="0.3">
      <c r="A32" s="124" t="s">
        <v>55</v>
      </c>
      <c r="B32" s="5"/>
      <c r="C32" s="5"/>
      <c r="D32" s="5"/>
      <c r="E32" s="5"/>
      <c r="F32" s="20"/>
      <c r="G32" s="20"/>
      <c r="H32" s="6"/>
      <c r="I32" s="6"/>
      <c r="J32" s="117"/>
      <c r="K32" s="117"/>
      <c r="L32" s="5"/>
      <c r="M32" s="5"/>
      <c r="N32" s="5"/>
      <c r="O32" s="5"/>
      <c r="P32" s="120"/>
      <c r="Q32" s="120"/>
      <c r="R32" s="6"/>
      <c r="S32" s="6"/>
      <c r="T32" s="117"/>
      <c r="U32" s="117"/>
      <c r="V32" s="5"/>
      <c r="W32" s="5"/>
      <c r="X32" s="5"/>
      <c r="Y32" s="5"/>
      <c r="Z32" s="4"/>
      <c r="AA32" s="4"/>
      <c r="AB32" s="195"/>
      <c r="AC32" s="195"/>
      <c r="AD32" s="196"/>
      <c r="AE32" s="196"/>
      <c r="AF32" s="197"/>
      <c r="AG32" s="197"/>
      <c r="AH32" s="5"/>
      <c r="AI32" s="5"/>
      <c r="AJ32" s="8"/>
      <c r="AK32" s="8"/>
      <c r="AL32" s="4"/>
      <c r="AM32" s="4"/>
      <c r="AN32" s="192"/>
      <c r="AO32" s="192"/>
      <c r="AP32" s="5"/>
      <c r="AQ32" s="5"/>
      <c r="AR32" s="8"/>
      <c r="AS32" s="8"/>
      <c r="AT32" s="4"/>
      <c r="AU32" s="4"/>
      <c r="AV32" s="192"/>
      <c r="AW32" s="237"/>
      <c r="AX32" s="216"/>
      <c r="AY32" s="216"/>
    </row>
    <row r="33" spans="1:51" ht="15.75" thickBot="1" x14ac:dyDescent="0.3">
      <c r="A33" s="125" t="s">
        <v>128</v>
      </c>
      <c r="B33" s="5">
        <v>6</v>
      </c>
      <c r="C33" s="5">
        <v>5.6</v>
      </c>
      <c r="D33" s="5">
        <v>7.2</v>
      </c>
      <c r="E33" s="5">
        <v>5.36</v>
      </c>
      <c r="F33" s="20">
        <f t="shared" ref="F33:G35" si="50">B33-D33</f>
        <v>-1.2000000000000002</v>
      </c>
      <c r="G33" s="20">
        <f t="shared" si="50"/>
        <v>0.23999999999999932</v>
      </c>
      <c r="H33" s="6">
        <v>7.2</v>
      </c>
      <c r="I33" s="6">
        <v>5.36</v>
      </c>
      <c r="J33" s="117">
        <f t="shared" ref="J33:K35" si="51">H33-D33</f>
        <v>0</v>
      </c>
      <c r="K33" s="117">
        <f t="shared" si="51"/>
        <v>0</v>
      </c>
      <c r="L33" s="5">
        <v>2</v>
      </c>
      <c r="M33" s="5">
        <v>1.9</v>
      </c>
      <c r="N33" s="5">
        <v>7.2</v>
      </c>
      <c r="O33" s="5">
        <v>5.36</v>
      </c>
      <c r="P33" s="120">
        <f t="shared" ref="P33:Q35" si="52">L33-N33</f>
        <v>-5.2</v>
      </c>
      <c r="Q33" s="120">
        <f t="shared" si="52"/>
        <v>-3.4600000000000004</v>
      </c>
      <c r="R33" s="6">
        <v>7.2</v>
      </c>
      <c r="S33" s="6">
        <v>5.36</v>
      </c>
      <c r="T33" s="117">
        <f t="shared" ref="T33:U35" si="53">R33-N33</f>
        <v>0</v>
      </c>
      <c r="U33" s="117">
        <f t="shared" si="53"/>
        <v>0</v>
      </c>
      <c r="V33" s="5">
        <f t="shared" ref="V33:V34" si="54">B33+L33</f>
        <v>8</v>
      </c>
      <c r="W33" s="5">
        <f t="shared" ref="W33:W34" si="55">C33+M33</f>
        <v>7.5</v>
      </c>
      <c r="X33" s="5">
        <v>14.4</v>
      </c>
      <c r="Y33" s="5">
        <v>10.72</v>
      </c>
      <c r="Z33" s="4">
        <f t="shared" ref="Z33:AA35" si="56">V33-X33</f>
        <v>-6.4</v>
      </c>
      <c r="AA33" s="4">
        <f t="shared" si="56"/>
        <v>-3.2200000000000006</v>
      </c>
      <c r="AB33" s="195">
        <v>10.199999999999999</v>
      </c>
      <c r="AC33" s="195">
        <v>7.46</v>
      </c>
      <c r="AD33" s="196">
        <f t="shared" ref="AD33:AE35" si="57">AB33-X33</f>
        <v>-4.2000000000000011</v>
      </c>
      <c r="AE33" s="196">
        <f t="shared" si="57"/>
        <v>-3.2600000000000007</v>
      </c>
      <c r="AF33" s="197">
        <v>2</v>
      </c>
      <c r="AG33" s="197">
        <v>1.9</v>
      </c>
      <c r="AH33" s="5">
        <v>1</v>
      </c>
      <c r="AI33" s="5"/>
      <c r="AJ33" s="8">
        <f t="shared" ref="AJ33:AJ34" si="58">D33+N33+AH33</f>
        <v>15.4</v>
      </c>
      <c r="AK33" s="8">
        <f t="shared" ref="AK33:AK34" si="59">E33+O33+AI33</f>
        <v>10.72</v>
      </c>
      <c r="AL33" s="4">
        <f t="shared" ref="AL33:AL34" si="60">V33+AF33</f>
        <v>10</v>
      </c>
      <c r="AM33" s="4">
        <f t="shared" ref="AM33:AM34" si="61">W33+AG33</f>
        <v>9.4</v>
      </c>
      <c r="AN33" s="192">
        <f t="shared" ref="AN33:AN34" si="62">AL33-AJ33</f>
        <v>-5.4</v>
      </c>
      <c r="AO33" s="192">
        <f t="shared" ref="AO33:AO34" si="63">AM33-AK33</f>
        <v>-1.3200000000000003</v>
      </c>
      <c r="AP33" s="5">
        <v>9</v>
      </c>
      <c r="AQ33" s="5">
        <v>10.8</v>
      </c>
      <c r="AR33" s="8">
        <f>D33+N33+AH33+AP33</f>
        <v>24.4</v>
      </c>
      <c r="AS33" s="8">
        <f>E33+O33+AI33+AQ33</f>
        <v>21.520000000000003</v>
      </c>
      <c r="AT33" s="4">
        <v>15</v>
      </c>
      <c r="AU33" s="4">
        <v>14</v>
      </c>
      <c r="AV33" s="192">
        <f>AT33-AR33</f>
        <v>-9.3999999999999986</v>
      </c>
      <c r="AW33" s="237">
        <f>AU33-AS33</f>
        <v>-7.5200000000000031</v>
      </c>
      <c r="AX33" s="216">
        <v>11.7</v>
      </c>
      <c r="AY33" s="216">
        <v>16</v>
      </c>
    </row>
    <row r="34" spans="1:51" ht="15.75" thickBot="1" x14ac:dyDescent="0.3">
      <c r="A34" s="125" t="s">
        <v>129</v>
      </c>
      <c r="B34" s="5">
        <v>6</v>
      </c>
      <c r="C34" s="5">
        <v>5.6</v>
      </c>
      <c r="D34" s="5">
        <v>7</v>
      </c>
      <c r="E34" s="5">
        <v>4.9000000000000004</v>
      </c>
      <c r="F34" s="20">
        <f t="shared" si="50"/>
        <v>-1</v>
      </c>
      <c r="G34" s="20">
        <f t="shared" si="50"/>
        <v>0.69999999999999929</v>
      </c>
      <c r="H34" s="6">
        <v>9</v>
      </c>
      <c r="I34" s="6">
        <v>6.75</v>
      </c>
      <c r="J34" s="117">
        <f t="shared" si="51"/>
        <v>2</v>
      </c>
      <c r="K34" s="117">
        <f t="shared" si="51"/>
        <v>1.8499999999999996</v>
      </c>
      <c r="L34" s="5">
        <v>2</v>
      </c>
      <c r="M34" s="5">
        <v>1.9</v>
      </c>
      <c r="N34" s="5">
        <v>7</v>
      </c>
      <c r="O34" s="5">
        <v>4.9000000000000004</v>
      </c>
      <c r="P34" s="120">
        <f t="shared" si="52"/>
        <v>-5</v>
      </c>
      <c r="Q34" s="120">
        <f t="shared" si="52"/>
        <v>-3.0000000000000004</v>
      </c>
      <c r="R34" s="6">
        <v>9</v>
      </c>
      <c r="S34" s="6">
        <v>6.75</v>
      </c>
      <c r="T34" s="117">
        <f t="shared" si="53"/>
        <v>2</v>
      </c>
      <c r="U34" s="117">
        <f t="shared" si="53"/>
        <v>1.8499999999999996</v>
      </c>
      <c r="V34" s="5">
        <f t="shared" si="54"/>
        <v>8</v>
      </c>
      <c r="W34" s="5">
        <f t="shared" si="55"/>
        <v>7.5</v>
      </c>
      <c r="X34" s="5">
        <v>14</v>
      </c>
      <c r="Y34" s="5">
        <v>9.8000000000000007</v>
      </c>
      <c r="Z34" s="4">
        <f t="shared" si="56"/>
        <v>-6</v>
      </c>
      <c r="AA34" s="4">
        <f t="shared" si="56"/>
        <v>-2.3000000000000007</v>
      </c>
      <c r="AB34" s="195">
        <v>14</v>
      </c>
      <c r="AC34" s="195">
        <v>10.25</v>
      </c>
      <c r="AD34" s="196">
        <f t="shared" si="57"/>
        <v>0</v>
      </c>
      <c r="AE34" s="196">
        <f t="shared" si="57"/>
        <v>0.44999999999999929</v>
      </c>
      <c r="AF34" s="197">
        <v>2</v>
      </c>
      <c r="AG34" s="197">
        <v>1.9</v>
      </c>
      <c r="AH34" s="5"/>
      <c r="AI34" s="5"/>
      <c r="AJ34" s="8">
        <f t="shared" si="58"/>
        <v>14</v>
      </c>
      <c r="AK34" s="8">
        <f t="shared" si="59"/>
        <v>9.8000000000000007</v>
      </c>
      <c r="AL34" s="4">
        <f t="shared" si="60"/>
        <v>10</v>
      </c>
      <c r="AM34" s="4">
        <f t="shared" si="61"/>
        <v>9.4</v>
      </c>
      <c r="AN34" s="192">
        <f t="shared" si="62"/>
        <v>-4</v>
      </c>
      <c r="AO34" s="192">
        <f t="shared" si="63"/>
        <v>-0.40000000000000036</v>
      </c>
      <c r="AP34" s="5">
        <v>6</v>
      </c>
      <c r="AQ34" s="5">
        <v>7.2</v>
      </c>
      <c r="AR34" s="8">
        <f>D34+N34+AH34+AP34</f>
        <v>20</v>
      </c>
      <c r="AS34" s="8">
        <f>E34+O34+AI34+AQ34</f>
        <v>17</v>
      </c>
      <c r="AT34" s="4">
        <v>15</v>
      </c>
      <c r="AU34" s="4">
        <v>14</v>
      </c>
      <c r="AV34" s="192">
        <f>AT34-AR34</f>
        <v>-5</v>
      </c>
      <c r="AW34" s="237">
        <f>AU34-AS34</f>
        <v>-3</v>
      </c>
      <c r="AX34" s="216">
        <v>16</v>
      </c>
      <c r="AY34" s="216">
        <v>32</v>
      </c>
    </row>
    <row r="35" spans="1:51" s="36" customFormat="1" ht="16.5" thickBot="1" x14ac:dyDescent="0.3">
      <c r="A35" s="191" t="s">
        <v>92</v>
      </c>
      <c r="B35" s="13">
        <f>SUM(B33:B34)</f>
        <v>12</v>
      </c>
      <c r="C35" s="13">
        <f>SUM(C33:C34)</f>
        <v>11.2</v>
      </c>
      <c r="D35" s="13">
        <f>D33+D34</f>
        <v>14.2</v>
      </c>
      <c r="E35" s="13">
        <f>E33+E34</f>
        <v>10.260000000000002</v>
      </c>
      <c r="F35" s="13">
        <f t="shared" si="50"/>
        <v>-2.1999999999999993</v>
      </c>
      <c r="G35" s="13">
        <f t="shared" si="50"/>
        <v>0.93999999999999773</v>
      </c>
      <c r="H35" s="13">
        <v>16.2</v>
      </c>
      <c r="I35" s="13">
        <v>12.11</v>
      </c>
      <c r="J35" s="13">
        <f t="shared" si="51"/>
        <v>2</v>
      </c>
      <c r="K35" s="13">
        <f t="shared" si="51"/>
        <v>1.8499999999999979</v>
      </c>
      <c r="L35" s="13">
        <f>SUM(L33:L34)</f>
        <v>4</v>
      </c>
      <c r="M35" s="13">
        <f>SUM(M33:M34)</f>
        <v>3.8</v>
      </c>
      <c r="N35" s="13">
        <f>N33+N34</f>
        <v>14.2</v>
      </c>
      <c r="O35" s="13">
        <f>O33+O34</f>
        <v>10.260000000000002</v>
      </c>
      <c r="P35" s="13">
        <f t="shared" si="52"/>
        <v>-10.199999999999999</v>
      </c>
      <c r="Q35" s="13">
        <f t="shared" si="52"/>
        <v>-6.4600000000000017</v>
      </c>
      <c r="R35" s="13">
        <v>16.2</v>
      </c>
      <c r="S35" s="13">
        <v>12.11</v>
      </c>
      <c r="T35" s="13">
        <f t="shared" si="53"/>
        <v>2</v>
      </c>
      <c r="U35" s="13">
        <f t="shared" si="53"/>
        <v>1.8499999999999979</v>
      </c>
      <c r="V35" s="13">
        <v>16</v>
      </c>
      <c r="W35" s="13">
        <v>15</v>
      </c>
      <c r="X35" s="13">
        <f>SUM(X33:X34)</f>
        <v>28.4</v>
      </c>
      <c r="Y35" s="13">
        <f>SUM(Y33:Y34)</f>
        <v>20.520000000000003</v>
      </c>
      <c r="Z35" s="13">
        <f t="shared" si="56"/>
        <v>-12.399999999999999</v>
      </c>
      <c r="AA35" s="13">
        <f t="shared" si="56"/>
        <v>-5.5200000000000031</v>
      </c>
      <c r="AB35" s="198">
        <v>24.2</v>
      </c>
      <c r="AC35" s="198">
        <v>17.71</v>
      </c>
      <c r="AD35" s="198">
        <f t="shared" si="57"/>
        <v>-4.1999999999999993</v>
      </c>
      <c r="AE35" s="198">
        <f t="shared" si="57"/>
        <v>-2.8100000000000023</v>
      </c>
      <c r="AF35" s="198"/>
      <c r="AG35" s="198"/>
      <c r="AH35" s="13">
        <f>SUM(AH33:AH34)</f>
        <v>1</v>
      </c>
      <c r="AI35" s="13">
        <f>SUM(AI33:AI34)</f>
        <v>0</v>
      </c>
      <c r="AJ35" s="13">
        <f>SUM(AJ33:AJ34)</f>
        <v>29.4</v>
      </c>
      <c r="AK35" s="13">
        <f>SUM(AK33:AK34)</f>
        <v>20.520000000000003</v>
      </c>
      <c r="AL35" s="13">
        <f t="shared" ref="AL35:AM35" si="64">SUM(AL33:AL34)</f>
        <v>20</v>
      </c>
      <c r="AM35" s="13">
        <f t="shared" si="64"/>
        <v>18.8</v>
      </c>
      <c r="AN35" s="13">
        <f t="shared" ref="AN35" si="65">AJ35-AL35</f>
        <v>9.3999999999999986</v>
      </c>
      <c r="AO35" s="13">
        <f t="shared" ref="AO35" si="66">AK35-AM35</f>
        <v>1.7200000000000024</v>
      </c>
      <c r="AP35" s="13">
        <f>SUM(AP33:AP34)</f>
        <v>15</v>
      </c>
      <c r="AQ35" s="13">
        <f>SUM(AQ33:AQ34)</f>
        <v>18</v>
      </c>
      <c r="AR35" s="13">
        <f>SUM(AR33:AR34)</f>
        <v>44.4</v>
      </c>
      <c r="AS35" s="13">
        <f>SUM(AS33:AS34)</f>
        <v>38.520000000000003</v>
      </c>
      <c r="AT35" s="13">
        <f t="shared" ref="AT35:AU35" si="67">SUM(AT33:AT34)</f>
        <v>30</v>
      </c>
      <c r="AU35" s="13">
        <f t="shared" si="67"/>
        <v>28</v>
      </c>
      <c r="AV35" s="13">
        <f>AT35-AR35</f>
        <v>-14.399999999999999</v>
      </c>
      <c r="AW35" s="238">
        <f>AU35-AS35</f>
        <v>-10.520000000000003</v>
      </c>
      <c r="AX35" s="217">
        <v>27.7</v>
      </c>
      <c r="AY35" s="217">
        <v>48</v>
      </c>
    </row>
    <row r="36" spans="1:51" ht="15.75" thickBot="1" x14ac:dyDescent="0.3">
      <c r="A36" s="124"/>
      <c r="B36" s="17"/>
      <c r="C36" s="17"/>
      <c r="D36" s="17"/>
      <c r="E36" s="17"/>
      <c r="F36" s="20"/>
      <c r="G36" s="20"/>
      <c r="H36" s="18"/>
      <c r="I36" s="18"/>
      <c r="J36" s="122"/>
      <c r="K36" s="122"/>
      <c r="L36" s="17"/>
      <c r="M36" s="17"/>
      <c r="N36" s="17"/>
      <c r="O36" s="17"/>
      <c r="P36" s="120"/>
      <c r="Q36" s="120"/>
      <c r="R36" s="18"/>
      <c r="S36" s="18"/>
      <c r="T36" s="122"/>
      <c r="U36" s="122"/>
      <c r="V36" s="17"/>
      <c r="W36" s="17"/>
      <c r="X36" s="17"/>
      <c r="Y36" s="17"/>
      <c r="Z36" s="16"/>
      <c r="AA36" s="16"/>
      <c r="AB36" s="195"/>
      <c r="AC36" s="195"/>
      <c r="AD36" s="196"/>
      <c r="AE36" s="196"/>
      <c r="AF36" s="197"/>
      <c r="AG36" s="197"/>
      <c r="AH36" s="17"/>
      <c r="AI36" s="17"/>
      <c r="AJ36" s="20"/>
      <c r="AK36" s="20"/>
      <c r="AL36" s="16"/>
      <c r="AM36" s="16"/>
      <c r="AN36" s="193"/>
      <c r="AO36" s="193"/>
      <c r="AP36" s="17"/>
      <c r="AQ36" s="17"/>
      <c r="AR36" s="20"/>
      <c r="AS36" s="20"/>
      <c r="AT36" s="16"/>
      <c r="AU36" s="16"/>
      <c r="AV36" s="193"/>
      <c r="AW36" s="239"/>
      <c r="AX36" s="216"/>
      <c r="AY36" s="216"/>
    </row>
    <row r="37" spans="1:51" ht="15.75" thickBot="1" x14ac:dyDescent="0.3">
      <c r="A37" s="124"/>
      <c r="B37" s="17"/>
      <c r="C37" s="17"/>
      <c r="D37" s="17"/>
      <c r="E37" s="17"/>
      <c r="F37" s="20"/>
      <c r="G37" s="20"/>
      <c r="H37" s="18"/>
      <c r="I37" s="18"/>
      <c r="J37" s="122"/>
      <c r="K37" s="122"/>
      <c r="L37" s="17"/>
      <c r="M37" s="17"/>
      <c r="N37" s="17"/>
      <c r="O37" s="17"/>
      <c r="P37" s="120"/>
      <c r="Q37" s="120"/>
      <c r="R37" s="18"/>
      <c r="S37" s="18"/>
      <c r="T37" s="122"/>
      <c r="U37" s="122"/>
      <c r="V37" s="17"/>
      <c r="W37" s="17"/>
      <c r="X37" s="17"/>
      <c r="Y37" s="17"/>
      <c r="Z37" s="16"/>
      <c r="AA37" s="16"/>
      <c r="AB37" s="195"/>
      <c r="AC37" s="195"/>
      <c r="AD37" s="196"/>
      <c r="AE37" s="196"/>
      <c r="AF37" s="197"/>
      <c r="AG37" s="197"/>
      <c r="AH37" s="17"/>
      <c r="AI37" s="17"/>
      <c r="AJ37" s="20"/>
      <c r="AK37" s="20"/>
      <c r="AL37" s="16"/>
      <c r="AM37" s="16"/>
      <c r="AN37" s="193"/>
      <c r="AO37" s="193"/>
      <c r="AP37" s="17"/>
      <c r="AQ37" s="17"/>
      <c r="AR37" s="20"/>
      <c r="AS37" s="20"/>
      <c r="AT37" s="16"/>
      <c r="AU37" s="16"/>
      <c r="AV37" s="193"/>
      <c r="AW37" s="239"/>
      <c r="AX37" s="216"/>
      <c r="AY37" s="216"/>
    </row>
    <row r="38" spans="1:51" ht="15.75" thickBot="1" x14ac:dyDescent="0.3">
      <c r="A38" s="124"/>
      <c r="B38" s="17"/>
      <c r="C38" s="17"/>
      <c r="D38" s="17"/>
      <c r="E38" s="17"/>
      <c r="F38" s="20"/>
      <c r="G38" s="20"/>
      <c r="H38" s="18"/>
      <c r="I38" s="18"/>
      <c r="J38" s="122"/>
      <c r="K38" s="122"/>
      <c r="L38" s="17"/>
      <c r="M38" s="17"/>
      <c r="N38" s="17"/>
      <c r="O38" s="17"/>
      <c r="P38" s="120"/>
      <c r="Q38" s="120"/>
      <c r="R38" s="18"/>
      <c r="S38" s="18"/>
      <c r="T38" s="122"/>
      <c r="U38" s="122"/>
      <c r="V38" s="17"/>
      <c r="W38" s="17"/>
      <c r="X38" s="17"/>
      <c r="Y38" s="17"/>
      <c r="Z38" s="16"/>
      <c r="AA38" s="16"/>
      <c r="AB38" s="195"/>
      <c r="AC38" s="195"/>
      <c r="AD38" s="196"/>
      <c r="AE38" s="196"/>
      <c r="AF38" s="197"/>
      <c r="AG38" s="197"/>
      <c r="AH38" s="17"/>
      <c r="AI38" s="17"/>
      <c r="AJ38" s="20"/>
      <c r="AK38" s="20"/>
      <c r="AL38" s="16"/>
      <c r="AM38" s="16"/>
      <c r="AN38" s="193"/>
      <c r="AO38" s="193"/>
      <c r="AP38" s="17"/>
      <c r="AQ38" s="17"/>
      <c r="AR38" s="20"/>
      <c r="AS38" s="20"/>
      <c r="AT38" s="16"/>
      <c r="AU38" s="16"/>
      <c r="AV38" s="193"/>
      <c r="AW38" s="239"/>
      <c r="AX38" s="216"/>
      <c r="AY38" s="216"/>
    </row>
    <row r="39" spans="1:51" s="36" customFormat="1" ht="16.5" thickBot="1" x14ac:dyDescent="0.3">
      <c r="A39" s="191" t="s">
        <v>108</v>
      </c>
      <c r="B39" s="49">
        <f t="shared" ref="B39:I39" si="68">B35+B30+B17</f>
        <v>257.89999999999998</v>
      </c>
      <c r="C39" s="13">
        <f t="shared" si="68"/>
        <v>11.2</v>
      </c>
      <c r="D39" s="13">
        <f t="shared" si="68"/>
        <v>184.1</v>
      </c>
      <c r="E39" s="13">
        <f t="shared" si="68"/>
        <v>145.76000000000002</v>
      </c>
      <c r="F39" s="13">
        <f t="shared" si="68"/>
        <v>73.799999999999983</v>
      </c>
      <c r="G39" s="13">
        <f t="shared" si="68"/>
        <v>0.93999999999999773</v>
      </c>
      <c r="H39" s="13">
        <f t="shared" si="68"/>
        <v>183.7</v>
      </c>
      <c r="I39" s="13">
        <f t="shared" si="68"/>
        <v>128.91000000000003</v>
      </c>
      <c r="J39" s="13">
        <f>H39-D39</f>
        <v>-0.40000000000000568</v>
      </c>
      <c r="K39" s="13">
        <f>I39-E39</f>
        <v>-16.849999999999994</v>
      </c>
      <c r="L39" s="49">
        <f t="shared" ref="L39:S39" si="69">L35+L30+L17</f>
        <v>53.5</v>
      </c>
      <c r="M39" s="13">
        <f t="shared" si="69"/>
        <v>240.84999999999997</v>
      </c>
      <c r="N39" s="13">
        <f t="shared" si="69"/>
        <v>60.2</v>
      </c>
      <c r="O39" s="13">
        <f t="shared" si="69"/>
        <v>48.438000000000002</v>
      </c>
      <c r="P39" s="13">
        <f t="shared" si="69"/>
        <v>-6.6999999999999993</v>
      </c>
      <c r="Q39" s="13">
        <f t="shared" si="69"/>
        <v>59.762000000000008</v>
      </c>
      <c r="R39" s="13">
        <f t="shared" si="69"/>
        <v>183.7</v>
      </c>
      <c r="S39" s="13">
        <f t="shared" si="69"/>
        <v>128.91000000000003</v>
      </c>
      <c r="T39" s="13">
        <f>R39-N39</f>
        <v>123.49999999999999</v>
      </c>
      <c r="U39" s="13">
        <f>S39-O39</f>
        <v>80.472000000000023</v>
      </c>
      <c r="V39" s="13">
        <f>V17+V30+V35</f>
        <v>311.39999999999998</v>
      </c>
      <c r="W39" s="13">
        <v>276.23</v>
      </c>
      <c r="X39" s="13">
        <f>X17+X30+X35</f>
        <v>252.29999999999998</v>
      </c>
      <c r="Y39" s="13">
        <f>Y17+Y30+Y35</f>
        <v>198.798</v>
      </c>
      <c r="Z39" s="13">
        <f>V39-X39</f>
        <v>59.099999999999994</v>
      </c>
      <c r="AA39" s="13">
        <f>W39-Y39</f>
        <v>77.432000000000016</v>
      </c>
      <c r="AB39" s="198">
        <v>271.39999999999998</v>
      </c>
      <c r="AC39" s="198">
        <v>194.54</v>
      </c>
      <c r="AD39" s="199">
        <f>AB39-X39</f>
        <v>19.099999999999994</v>
      </c>
      <c r="AE39" s="199">
        <f>AC39-Y39</f>
        <v>-4.2580000000000098</v>
      </c>
      <c r="AF39" s="199"/>
      <c r="AG39" s="199"/>
      <c r="AH39" s="13">
        <f>AH17+AH30+AH35</f>
        <v>10.3</v>
      </c>
      <c r="AI39" s="13">
        <f>AI17+AI30+AI35</f>
        <v>8.1229999999999993</v>
      </c>
      <c r="AJ39" s="13">
        <f>AJ17+AJ30+AJ35</f>
        <v>254.60000000000002</v>
      </c>
      <c r="AK39" s="13">
        <f>AK17+AK30+AK35</f>
        <v>202.321</v>
      </c>
      <c r="AL39" s="13">
        <f t="shared" ref="AL39:AM39" si="70">AL17+AL30+AL35</f>
        <v>330.5</v>
      </c>
      <c r="AM39" s="13">
        <f t="shared" si="70"/>
        <v>465.45</v>
      </c>
      <c r="AN39" s="13">
        <f>AJ39-AL39</f>
        <v>-75.899999999999977</v>
      </c>
      <c r="AO39" s="13">
        <f>AK39-AM39</f>
        <v>-263.12900000000002</v>
      </c>
      <c r="AP39" s="13">
        <f>AP17+AP30+AP35</f>
        <v>181.7</v>
      </c>
      <c r="AQ39" s="13">
        <f>AQ17+AQ30+AQ35</f>
        <v>163.30000000000001</v>
      </c>
      <c r="AR39" s="13">
        <f>AR17+AR30+AR35</f>
        <v>442.59999999999997</v>
      </c>
      <c r="AS39" s="13">
        <f>AS17+AS30+AS35</f>
        <v>365.62099999999998</v>
      </c>
      <c r="AT39" s="13">
        <f t="shared" ref="AT39:AU39" si="71">AT17+AT30+AT35</f>
        <v>542</v>
      </c>
      <c r="AU39" s="13">
        <f t="shared" si="71"/>
        <v>482.29999999999995</v>
      </c>
      <c r="AV39" s="13">
        <f>AT39-AR39</f>
        <v>99.400000000000034</v>
      </c>
      <c r="AW39" s="238">
        <f>AU39-AS39</f>
        <v>116.67899999999997</v>
      </c>
      <c r="AX39" s="217">
        <v>550.5</v>
      </c>
      <c r="AY39" s="217">
        <v>1528.6</v>
      </c>
    </row>
    <row r="41" spans="1:51" ht="15.75" x14ac:dyDescent="0.25">
      <c r="A41" s="2" t="s">
        <v>186</v>
      </c>
      <c r="B41" s="2"/>
      <c r="C41" s="2"/>
      <c r="D41" s="2"/>
      <c r="E41" s="2"/>
      <c r="F41" s="2"/>
      <c r="G41" s="2"/>
      <c r="H41" s="2">
        <v>46.5</v>
      </c>
      <c r="I41" s="2">
        <v>35.299999999999997</v>
      </c>
      <c r="J41" s="2"/>
      <c r="K41" s="2"/>
      <c r="L41" s="2"/>
      <c r="M41" s="2"/>
      <c r="N41" s="2"/>
      <c r="O41" s="2"/>
      <c r="P41" s="2"/>
      <c r="Q41" s="2"/>
      <c r="R41" s="2">
        <v>46.5</v>
      </c>
      <c r="S41" s="2">
        <v>35.299999999999997</v>
      </c>
      <c r="T41" s="2"/>
      <c r="U41" s="2"/>
      <c r="V41" s="2"/>
      <c r="W41" s="2"/>
      <c r="X41" s="2"/>
      <c r="Y41" s="2"/>
      <c r="Z41" s="2"/>
      <c r="AA41" s="2"/>
      <c r="AB41" s="200">
        <v>63</v>
      </c>
      <c r="AC41" s="200">
        <v>50.9</v>
      </c>
      <c r="AH41" s="2"/>
      <c r="AI41" s="2"/>
      <c r="AJ41" s="2"/>
      <c r="AK41" s="2"/>
      <c r="AL41" s="2"/>
      <c r="AM41" s="2"/>
      <c r="AN41" s="2"/>
      <c r="AO41" s="2"/>
    </row>
    <row r="42" spans="1:51" ht="15.75" x14ac:dyDescent="0.25">
      <c r="A42" s="2" t="s">
        <v>187</v>
      </c>
      <c r="B42" s="2"/>
      <c r="C42" s="2"/>
      <c r="D42" s="2"/>
      <c r="E42" s="2"/>
      <c r="F42" s="2"/>
      <c r="G42" s="2"/>
      <c r="H42" s="2">
        <v>230.2</v>
      </c>
      <c r="I42" s="2">
        <v>164.21</v>
      </c>
      <c r="J42" s="2"/>
      <c r="K42" s="2"/>
      <c r="L42" s="2"/>
      <c r="M42" s="2"/>
      <c r="N42" s="2"/>
      <c r="O42" s="2"/>
      <c r="P42" s="2"/>
      <c r="Q42" s="2"/>
      <c r="R42" s="2">
        <v>230.2</v>
      </c>
      <c r="S42" s="2">
        <v>164.21</v>
      </c>
      <c r="T42" s="2"/>
      <c r="U42" s="2"/>
      <c r="V42" s="2"/>
      <c r="W42" s="2"/>
      <c r="X42" s="2"/>
      <c r="Y42" s="2"/>
      <c r="Z42" s="2"/>
      <c r="AA42" s="2"/>
      <c r="AB42" s="200">
        <v>334.4</v>
      </c>
      <c r="AC42" s="200">
        <v>245.44</v>
      </c>
      <c r="AH42" s="2"/>
      <c r="AI42" s="2"/>
      <c r="AJ42" s="2"/>
      <c r="AK42" s="2"/>
      <c r="AL42" s="2"/>
      <c r="AM42" s="2"/>
      <c r="AN42" s="2"/>
      <c r="AO42" s="2"/>
    </row>
  </sheetData>
  <mergeCells count="31">
    <mergeCell ref="T2:U3"/>
    <mergeCell ref="V2:W3"/>
    <mergeCell ref="J2:K3"/>
    <mergeCell ref="B2:E2"/>
    <mergeCell ref="F2:G3"/>
    <mergeCell ref="H2:I2"/>
    <mergeCell ref="B3:C3"/>
    <mergeCell ref="D3:E3"/>
    <mergeCell ref="H3:I3"/>
    <mergeCell ref="L3:M3"/>
    <mergeCell ref="N3:O3"/>
    <mergeCell ref="R3:S3"/>
    <mergeCell ref="L2:O2"/>
    <mergeCell ref="P2:Q3"/>
    <mergeCell ref="R2:S2"/>
    <mergeCell ref="AL2:AM3"/>
    <mergeCell ref="AN2:AO3"/>
    <mergeCell ref="AH2:AI3"/>
    <mergeCell ref="AJ2:AK3"/>
    <mergeCell ref="X2:Y3"/>
    <mergeCell ref="Z2:AA3"/>
    <mergeCell ref="AB2:AC3"/>
    <mergeCell ref="AD2:AE3"/>
    <mergeCell ref="AF2:AG3"/>
    <mergeCell ref="AY2:AY3"/>
    <mergeCell ref="AZ2:AZ3"/>
    <mergeCell ref="AP2:AQ3"/>
    <mergeCell ref="AR2:AS3"/>
    <mergeCell ref="AT2:AU3"/>
    <mergeCell ref="AV2:AW3"/>
    <mergeCell ref="AX2:AX3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N72"/>
  <sheetViews>
    <sheetView tabSelected="1" view="pageBreakPreview" zoomScale="60" zoomScaleNormal="10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BT58" sqref="BT58"/>
    </sheetView>
  </sheetViews>
  <sheetFormatPr defaultRowHeight="15.75" x14ac:dyDescent="0.25"/>
  <cols>
    <col min="1" max="1" width="27.42578125" customWidth="1"/>
    <col min="6" max="6" width="10" bestFit="1" customWidth="1"/>
    <col min="9" max="9" width="9" customWidth="1"/>
    <col min="10" max="14" width="9.140625" hidden="1" customWidth="1"/>
    <col min="15" max="15" width="10.5703125" hidden="1" customWidth="1"/>
    <col min="16" max="16" width="10.140625" hidden="1" customWidth="1"/>
    <col min="17" max="17" width="10" hidden="1" customWidth="1"/>
    <col min="18" max="18" width="9.28515625" style="141" customWidth="1"/>
    <col min="19" max="19" width="9.140625" style="141"/>
    <col min="20" max="20" width="8" style="141" customWidth="1"/>
    <col min="21" max="21" width="9.140625" style="141"/>
    <col min="22" max="22" width="6.85546875" style="141" customWidth="1"/>
    <col min="23" max="23" width="9.140625" style="141"/>
    <col min="24" max="24" width="8.85546875" style="141" customWidth="1"/>
    <col min="25" max="25" width="10.42578125" style="141" customWidth="1"/>
    <col min="26" max="26" width="0.140625" style="141" customWidth="1"/>
    <col min="27" max="27" width="7.85546875" style="141" hidden="1" customWidth="1"/>
    <col min="28" max="28" width="6.85546875" style="141" hidden="1" customWidth="1"/>
    <col min="29" max="29" width="8.140625" style="141" hidden="1" customWidth="1"/>
    <col min="30" max="30" width="9.28515625" style="141" hidden="1" customWidth="1"/>
    <col min="31" max="31" width="13" style="141" hidden="1" customWidth="1"/>
    <col min="32" max="32" width="0.140625" style="141" hidden="1" customWidth="1"/>
    <col min="33" max="33" width="9.140625" style="141" hidden="1" customWidth="1"/>
    <col min="34" max="34" width="9.42578125" style="141" hidden="1" customWidth="1"/>
    <col min="35" max="35" width="9.140625" style="141" hidden="1" customWidth="1"/>
    <col min="36" max="36" width="7.5703125" style="141" hidden="1" customWidth="1"/>
    <col min="37" max="37" width="9" style="141" hidden="1" customWidth="1"/>
    <col min="38" max="38" width="8.7109375" style="141" hidden="1" customWidth="1"/>
    <col min="39" max="39" width="9" style="141" hidden="1" customWidth="1"/>
    <col min="40" max="40" width="8.85546875" style="141" hidden="1" customWidth="1"/>
    <col min="41" max="41" width="11" style="141" hidden="1" customWidth="1"/>
    <col min="42" max="43" width="9.140625" style="141" hidden="1" customWidth="1"/>
    <col min="44" max="49" width="9.140625" style="141"/>
    <col min="50" max="50" width="8.7109375" style="141" customWidth="1"/>
    <col min="51" max="51" width="9" style="141" customWidth="1"/>
    <col min="52" max="52" width="0.140625" style="141" customWidth="1"/>
    <col min="53" max="54" width="8.85546875" style="141" hidden="1" customWidth="1"/>
    <col min="55" max="55" width="11" style="141" hidden="1" customWidth="1"/>
    <col min="56" max="56" width="12.7109375" style="141" hidden="1" customWidth="1"/>
    <col min="57" max="57" width="13.85546875" style="141" hidden="1" customWidth="1"/>
    <col min="58" max="59" width="10" style="141" hidden="1" customWidth="1"/>
    <col min="60" max="60" width="12.7109375" style="141" hidden="1" customWidth="1"/>
    <col min="61" max="62" width="9.140625" style="141" hidden="1" customWidth="1"/>
    <col min="63" max="63" width="12.42578125" style="141" hidden="1" customWidth="1"/>
    <col min="64" max="64" width="13" style="141" hidden="1" customWidth="1"/>
    <col min="65" max="65" width="13.85546875" style="141" hidden="1" customWidth="1"/>
    <col min="66" max="67" width="9.140625" style="141"/>
    <col min="74" max="76" width="9.140625" hidden="1" customWidth="1"/>
    <col min="77" max="77" width="8.140625" hidden="1" customWidth="1"/>
    <col min="78" max="78" width="10.28515625" hidden="1" customWidth="1"/>
  </cols>
  <sheetData>
    <row r="2" spans="1:86" ht="22.5" customHeight="1" thickBot="1" x14ac:dyDescent="0.3">
      <c r="A2" t="s">
        <v>174</v>
      </c>
    </row>
    <row r="3" spans="1:86" ht="73.5" customHeight="1" thickBot="1" x14ac:dyDescent="0.3">
      <c r="A3" s="281" t="s">
        <v>0</v>
      </c>
      <c r="B3" s="358" t="s">
        <v>1</v>
      </c>
      <c r="C3" s="358"/>
      <c r="D3" s="358" t="s">
        <v>3</v>
      </c>
      <c r="E3" s="358"/>
      <c r="F3" s="358" t="s">
        <v>4</v>
      </c>
      <c r="G3" s="358"/>
      <c r="H3" s="362" t="s">
        <v>70</v>
      </c>
      <c r="I3" s="362"/>
      <c r="J3" s="282" t="s">
        <v>71</v>
      </c>
      <c r="K3" s="282"/>
      <c r="L3" s="280" t="s">
        <v>2</v>
      </c>
      <c r="M3" s="280"/>
      <c r="N3" s="279" t="s">
        <v>184</v>
      </c>
      <c r="O3" s="279"/>
      <c r="P3" s="283" t="s">
        <v>183</v>
      </c>
      <c r="Q3" s="284"/>
      <c r="R3" s="366" t="s">
        <v>238</v>
      </c>
      <c r="S3" s="366"/>
      <c r="T3" s="366" t="s">
        <v>239</v>
      </c>
      <c r="U3" s="366"/>
      <c r="V3" s="366" t="s">
        <v>240</v>
      </c>
      <c r="W3" s="366"/>
      <c r="X3" s="276" t="s">
        <v>241</v>
      </c>
      <c r="Y3" s="277"/>
      <c r="Z3" s="278" t="s">
        <v>242</v>
      </c>
      <c r="AA3" s="278"/>
      <c r="AB3" s="271" t="s">
        <v>2</v>
      </c>
      <c r="AC3" s="271"/>
      <c r="AD3" s="272" t="s">
        <v>243</v>
      </c>
      <c r="AE3" s="272"/>
      <c r="AF3" s="273" t="s">
        <v>183</v>
      </c>
      <c r="AG3" s="273"/>
      <c r="AH3" s="274" t="s">
        <v>244</v>
      </c>
      <c r="AI3" s="274"/>
      <c r="AJ3" s="275" t="s">
        <v>245</v>
      </c>
      <c r="AK3" s="275"/>
      <c r="AL3" s="287" t="s">
        <v>246</v>
      </c>
      <c r="AM3" s="287"/>
      <c r="AN3" s="288" t="s">
        <v>247</v>
      </c>
      <c r="AO3" s="288"/>
      <c r="AP3" s="289" t="s">
        <v>183</v>
      </c>
      <c r="AQ3" s="289"/>
      <c r="AR3" s="370" t="s">
        <v>248</v>
      </c>
      <c r="AS3" s="370"/>
      <c r="AT3" s="370" t="s">
        <v>249</v>
      </c>
      <c r="AU3" s="370"/>
      <c r="AV3" s="370" t="s">
        <v>250</v>
      </c>
      <c r="AW3" s="370"/>
      <c r="AX3" s="287" t="s">
        <v>254</v>
      </c>
      <c r="AY3" s="287"/>
      <c r="AZ3" s="291" t="s">
        <v>227</v>
      </c>
      <c r="BA3" s="292"/>
      <c r="BB3" s="288" t="s">
        <v>255</v>
      </c>
      <c r="BC3" s="288"/>
      <c r="BD3" s="207" t="s">
        <v>259</v>
      </c>
      <c r="BE3" s="211" t="s">
        <v>261</v>
      </c>
      <c r="BF3" s="287" t="s">
        <v>256</v>
      </c>
      <c r="BG3" s="287"/>
      <c r="BH3" s="208" t="s">
        <v>260</v>
      </c>
      <c r="BI3" s="293" t="s">
        <v>257</v>
      </c>
      <c r="BJ3" s="293"/>
      <c r="BK3" s="271" t="s">
        <v>258</v>
      </c>
      <c r="BL3" s="271"/>
      <c r="BM3" s="211" t="s">
        <v>261</v>
      </c>
      <c r="BN3" s="370" t="s">
        <v>262</v>
      </c>
      <c r="BO3" s="371"/>
      <c r="BP3" s="285" t="s">
        <v>263</v>
      </c>
      <c r="BQ3" s="290"/>
      <c r="BR3" s="285" t="s">
        <v>264</v>
      </c>
      <c r="BS3" s="286"/>
      <c r="BT3" s="268" t="s">
        <v>265</v>
      </c>
      <c r="BU3" s="268"/>
      <c r="BV3" s="269" t="s">
        <v>266</v>
      </c>
      <c r="BW3" s="270"/>
      <c r="BX3" s="267" t="s">
        <v>267</v>
      </c>
      <c r="BY3" s="267"/>
      <c r="BZ3" s="222" t="s">
        <v>268</v>
      </c>
      <c r="CA3" s="373" t="s">
        <v>269</v>
      </c>
      <c r="CB3" s="373"/>
      <c r="CC3" s="269" t="s">
        <v>270</v>
      </c>
      <c r="CD3" s="270"/>
      <c r="CE3" s="267" t="s">
        <v>271</v>
      </c>
      <c r="CF3" s="267"/>
      <c r="CG3" s="229" t="s">
        <v>272</v>
      </c>
      <c r="CH3" s="227" t="s">
        <v>273</v>
      </c>
    </row>
    <row r="4" spans="1:86" ht="15.75" customHeight="1" thickBot="1" x14ac:dyDescent="0.3">
      <c r="A4" s="281"/>
      <c r="B4" s="359" t="s">
        <v>5</v>
      </c>
      <c r="C4" s="359" t="s">
        <v>6</v>
      </c>
      <c r="D4" s="359" t="s">
        <v>5</v>
      </c>
      <c r="E4" s="359" t="s">
        <v>6</v>
      </c>
      <c r="F4" s="359" t="s">
        <v>5</v>
      </c>
      <c r="G4" s="359" t="s">
        <v>6</v>
      </c>
      <c r="H4" s="363" t="s">
        <v>5</v>
      </c>
      <c r="I4" s="363" t="s">
        <v>6</v>
      </c>
      <c r="J4" s="187" t="s">
        <v>5</v>
      </c>
      <c r="K4" s="187" t="s">
        <v>6</v>
      </c>
      <c r="L4" s="185" t="s">
        <v>5</v>
      </c>
      <c r="M4" s="185" t="s">
        <v>7</v>
      </c>
      <c r="N4" s="184" t="s">
        <v>5</v>
      </c>
      <c r="O4" s="184" t="s">
        <v>6</v>
      </c>
      <c r="P4" s="186" t="s">
        <v>5</v>
      </c>
      <c r="Q4" s="186" t="s">
        <v>6</v>
      </c>
      <c r="R4" s="367" t="s">
        <v>5</v>
      </c>
      <c r="S4" s="367" t="s">
        <v>6</v>
      </c>
      <c r="T4" s="367" t="s">
        <v>5</v>
      </c>
      <c r="U4" s="367" t="s">
        <v>6</v>
      </c>
      <c r="V4" s="367" t="s">
        <v>5</v>
      </c>
      <c r="W4" s="367" t="s">
        <v>6</v>
      </c>
      <c r="X4" s="145" t="s">
        <v>5</v>
      </c>
      <c r="Y4" s="145" t="s">
        <v>6</v>
      </c>
      <c r="Z4" s="142" t="s">
        <v>5</v>
      </c>
      <c r="AA4" s="142" t="s">
        <v>6</v>
      </c>
      <c r="AB4" s="143" t="s">
        <v>5</v>
      </c>
      <c r="AC4" s="143" t="s">
        <v>7</v>
      </c>
      <c r="AD4" s="144" t="s">
        <v>5</v>
      </c>
      <c r="AE4" s="144" t="s">
        <v>6</v>
      </c>
      <c r="AF4" s="145" t="s">
        <v>5</v>
      </c>
      <c r="AG4" s="145" t="s">
        <v>6</v>
      </c>
      <c r="AH4" s="146" t="s">
        <v>5</v>
      </c>
      <c r="AI4" s="146" t="s">
        <v>6</v>
      </c>
      <c r="AJ4" s="147" t="s">
        <v>5</v>
      </c>
      <c r="AK4" s="147" t="s">
        <v>6</v>
      </c>
      <c r="AL4" s="148" t="s">
        <v>5</v>
      </c>
      <c r="AM4" s="148" t="s">
        <v>6</v>
      </c>
      <c r="AN4" s="149" t="s">
        <v>5</v>
      </c>
      <c r="AO4" s="149" t="s">
        <v>6</v>
      </c>
      <c r="AP4" s="150" t="s">
        <v>5</v>
      </c>
      <c r="AQ4" s="150" t="s">
        <v>6</v>
      </c>
      <c r="AR4" s="368" t="s">
        <v>5</v>
      </c>
      <c r="AS4" s="368" t="s">
        <v>6</v>
      </c>
      <c r="AT4" s="368" t="s">
        <v>5</v>
      </c>
      <c r="AU4" s="368" t="s">
        <v>6</v>
      </c>
      <c r="AV4" s="368" t="s">
        <v>5</v>
      </c>
      <c r="AW4" s="368" t="s">
        <v>6</v>
      </c>
      <c r="AX4" s="148" t="s">
        <v>5</v>
      </c>
      <c r="AY4" s="148" t="s">
        <v>6</v>
      </c>
      <c r="AZ4" s="168" t="s">
        <v>5</v>
      </c>
      <c r="BA4" s="168" t="s">
        <v>6</v>
      </c>
      <c r="BB4" s="149" t="s">
        <v>5</v>
      </c>
      <c r="BC4" s="149" t="s">
        <v>6</v>
      </c>
      <c r="BD4" s="148" t="s">
        <v>5</v>
      </c>
      <c r="BE4" s="210"/>
      <c r="BF4" s="148" t="s">
        <v>5</v>
      </c>
      <c r="BG4" s="148" t="s">
        <v>6</v>
      </c>
      <c r="BH4" s="209" t="s">
        <v>5</v>
      </c>
      <c r="BI4" s="150" t="s">
        <v>5</v>
      </c>
      <c r="BJ4" s="150" t="s">
        <v>6</v>
      </c>
      <c r="BK4" s="143" t="s">
        <v>5</v>
      </c>
      <c r="BL4" s="143" t="s">
        <v>7</v>
      </c>
      <c r="BM4" s="210"/>
      <c r="BN4" s="368" t="s">
        <v>5</v>
      </c>
      <c r="BO4" s="372" t="s">
        <v>6</v>
      </c>
      <c r="BP4" s="216" t="s">
        <v>5</v>
      </c>
      <c r="BQ4" s="216" t="s">
        <v>6</v>
      </c>
      <c r="BR4" s="216" t="s">
        <v>5</v>
      </c>
      <c r="BS4" s="216" t="s">
        <v>6</v>
      </c>
      <c r="BT4" s="216"/>
      <c r="BU4" s="216"/>
      <c r="BV4" s="216"/>
      <c r="BW4" s="216"/>
      <c r="BX4" s="216"/>
      <c r="BY4" s="216"/>
      <c r="BZ4" s="216"/>
      <c r="CA4" s="374"/>
      <c r="CB4" s="374"/>
      <c r="CC4" s="216"/>
      <c r="CD4" s="216"/>
      <c r="CE4" s="216"/>
      <c r="CF4" s="216"/>
      <c r="CG4" s="230"/>
      <c r="CH4" s="228"/>
    </row>
    <row r="5" spans="1:86" ht="16.5" thickBot="1" x14ac:dyDescent="0.3">
      <c r="A5" s="169" t="s">
        <v>9</v>
      </c>
      <c r="B5" s="360"/>
      <c r="C5" s="360"/>
      <c r="D5" s="360"/>
      <c r="E5" s="360"/>
      <c r="F5" s="360"/>
      <c r="G5" s="360"/>
      <c r="H5" s="364"/>
      <c r="I5" s="364"/>
      <c r="J5" s="188"/>
      <c r="K5" s="188"/>
      <c r="L5" s="127"/>
      <c r="M5" s="127"/>
      <c r="N5" s="126"/>
      <c r="O5" s="126"/>
      <c r="P5" s="9"/>
      <c r="Q5" s="9"/>
      <c r="R5" s="368"/>
      <c r="S5" s="368"/>
      <c r="T5" s="368"/>
      <c r="U5" s="368"/>
      <c r="V5" s="368"/>
      <c r="W5" s="368"/>
      <c r="X5" s="151"/>
      <c r="Y5" s="151"/>
      <c r="Z5" s="148"/>
      <c r="AA5" s="148"/>
      <c r="AB5" s="153"/>
      <c r="AC5" s="153"/>
      <c r="AD5" s="154"/>
      <c r="AE5" s="154"/>
      <c r="AF5" s="151"/>
      <c r="AG5" s="151"/>
      <c r="AH5" s="155"/>
      <c r="AI5" s="155"/>
      <c r="AJ5" s="156"/>
      <c r="AK5" s="156"/>
      <c r="AL5" s="148"/>
      <c r="AM5" s="148"/>
      <c r="AN5" s="149"/>
      <c r="AO5" s="149"/>
      <c r="AP5" s="150"/>
      <c r="AQ5" s="150"/>
      <c r="AR5" s="368"/>
      <c r="AS5" s="368"/>
      <c r="AT5" s="368"/>
      <c r="AU5" s="368"/>
      <c r="AV5" s="368"/>
      <c r="AW5" s="368"/>
      <c r="AX5" s="148"/>
      <c r="AY5" s="148"/>
      <c r="AZ5" s="168"/>
      <c r="BA5" s="168"/>
      <c r="BB5" s="149"/>
      <c r="BC5" s="149"/>
      <c r="BD5" s="148"/>
      <c r="BE5" s="210"/>
      <c r="BF5" s="148"/>
      <c r="BG5" s="148"/>
      <c r="BH5" s="209"/>
      <c r="BI5" s="150"/>
      <c r="BJ5" s="150"/>
      <c r="BK5" s="153"/>
      <c r="BL5" s="153"/>
      <c r="BM5" s="210"/>
      <c r="BN5" s="368"/>
      <c r="BO5" s="372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374"/>
      <c r="CB5" s="374"/>
      <c r="CC5" s="216"/>
      <c r="CD5" s="216"/>
      <c r="CE5" s="216"/>
      <c r="CF5" s="216"/>
      <c r="CG5" s="230"/>
      <c r="CH5" s="228"/>
    </row>
    <row r="6" spans="1:86" ht="16.5" thickBot="1" x14ac:dyDescent="0.3">
      <c r="A6" s="170" t="s">
        <v>10</v>
      </c>
      <c r="B6" s="360">
        <v>8926</v>
      </c>
      <c r="C6" s="360">
        <v>39642.269999999997</v>
      </c>
      <c r="D6" s="360">
        <v>9292</v>
      </c>
      <c r="E6" s="360">
        <v>40844.19</v>
      </c>
      <c r="F6" s="360">
        <v>7283</v>
      </c>
      <c r="G6" s="360">
        <v>32376.639999999999</v>
      </c>
      <c r="H6" s="364">
        <f t="shared" ref="H6:I22" si="0">B6+D6+F6</f>
        <v>25501</v>
      </c>
      <c r="I6" s="364">
        <f t="shared" si="0"/>
        <v>112863.09999999999</v>
      </c>
      <c r="J6" s="188">
        <v>25000</v>
      </c>
      <c r="K6" s="188">
        <v>122500</v>
      </c>
      <c r="L6" s="127">
        <f t="shared" ref="L6:M22" si="1">J6-H6</f>
        <v>-501</v>
      </c>
      <c r="M6" s="127">
        <f t="shared" si="1"/>
        <v>9636.9000000000087</v>
      </c>
      <c r="N6" s="126">
        <v>18772</v>
      </c>
      <c r="O6" s="126">
        <v>74487.78</v>
      </c>
      <c r="P6" s="9">
        <f t="shared" ref="P6:P22" si="2">N6-H6</f>
        <v>-6729</v>
      </c>
      <c r="Q6" s="9">
        <f t="shared" ref="Q6:Q22" si="3">O6-I6</f>
        <v>-38375.319999999992</v>
      </c>
      <c r="R6" s="368">
        <v>7168</v>
      </c>
      <c r="S6" s="368">
        <v>32471.52</v>
      </c>
      <c r="T6" s="368">
        <v>6319</v>
      </c>
      <c r="U6" s="368">
        <v>28648.46</v>
      </c>
      <c r="V6" s="368">
        <v>3091</v>
      </c>
      <c r="W6" s="368">
        <v>14216.22</v>
      </c>
      <c r="X6" s="151">
        <f t="shared" ref="X6:Y22" si="4">R6+T6+V6</f>
        <v>16578</v>
      </c>
      <c r="Y6" s="151">
        <f t="shared" si="4"/>
        <v>75336.2</v>
      </c>
      <c r="Z6" s="148">
        <v>16000</v>
      </c>
      <c r="AA6" s="148">
        <v>78400</v>
      </c>
      <c r="AB6" s="153">
        <f t="shared" ref="AB6:AC22" si="5">Z6-X6</f>
        <v>-578</v>
      </c>
      <c r="AC6" s="153">
        <f t="shared" si="5"/>
        <v>3063.8000000000029</v>
      </c>
      <c r="AD6" s="154">
        <v>15899</v>
      </c>
      <c r="AE6" s="154">
        <v>63816.72</v>
      </c>
      <c r="AF6" s="151">
        <f t="shared" ref="AF6:AG22" si="6">AD6-X6</f>
        <v>-679</v>
      </c>
      <c r="AG6" s="151">
        <f t="shared" si="6"/>
        <v>-11519.479999999996</v>
      </c>
      <c r="AH6" s="155">
        <f>H6+X6</f>
        <v>42079</v>
      </c>
      <c r="AI6" s="155">
        <f>I6+Y6</f>
        <v>188199.3</v>
      </c>
      <c r="AJ6" s="156">
        <v>34671</v>
      </c>
      <c r="AK6" s="156">
        <v>138305</v>
      </c>
      <c r="AL6" s="148">
        <f t="shared" ref="AL6:AL22" si="7">J6+Z6</f>
        <v>41000</v>
      </c>
      <c r="AM6" s="148">
        <f t="shared" ref="AM6:AM22" si="8">K6+AA6</f>
        <v>200900</v>
      </c>
      <c r="AN6" s="149">
        <f>AL6-AH6</f>
        <v>-1079</v>
      </c>
      <c r="AO6" s="149">
        <f t="shared" ref="AN6:AO22" si="9">AM6-AI6</f>
        <v>12700.700000000012</v>
      </c>
      <c r="AP6" s="150">
        <f>AJ6-AH6</f>
        <v>-7408</v>
      </c>
      <c r="AQ6" s="150">
        <f t="shared" ref="AP6:AQ22" si="10">AK6-AI6</f>
        <v>-49894.299999999988</v>
      </c>
      <c r="AR6" s="368">
        <v>713</v>
      </c>
      <c r="AS6" s="368">
        <v>3194.5</v>
      </c>
      <c r="AT6" s="368">
        <v>3626</v>
      </c>
      <c r="AU6" s="368">
        <v>15942.71</v>
      </c>
      <c r="AV6" s="368">
        <v>7240</v>
      </c>
      <c r="AW6" s="368">
        <v>31427.79</v>
      </c>
      <c r="AX6" s="148">
        <f>AR6+AT6+AV6</f>
        <v>11579</v>
      </c>
      <c r="AY6" s="148">
        <f>AS6+AU6+AW6</f>
        <v>50565</v>
      </c>
      <c r="AZ6" s="168">
        <f>3000+3000+7000</f>
        <v>13000</v>
      </c>
      <c r="BA6" s="168">
        <f>14700+14700+34300</f>
        <v>63700</v>
      </c>
      <c r="BB6" s="149">
        <f>AZ6-AX6</f>
        <v>1421</v>
      </c>
      <c r="BC6" s="149">
        <f>BA6-AY6</f>
        <v>13135</v>
      </c>
      <c r="BD6" s="148">
        <v>13210</v>
      </c>
      <c r="BE6" s="210">
        <f>BD6-AX6</f>
        <v>1631</v>
      </c>
      <c r="BF6" s="148">
        <f t="shared" ref="BF6:BF22" si="11">AH6+AX6</f>
        <v>53658</v>
      </c>
      <c r="BG6" s="148">
        <f t="shared" ref="BG6:BG22" si="12">AI6+AY6</f>
        <v>238764.3</v>
      </c>
      <c r="BH6" s="209">
        <v>47881</v>
      </c>
      <c r="BI6" s="150">
        <f t="shared" ref="BI6:BI22" si="13">AL6+AZ6</f>
        <v>54000</v>
      </c>
      <c r="BJ6" s="150">
        <f t="shared" ref="BJ6:BJ22" si="14">AM6+BA6</f>
        <v>264600</v>
      </c>
      <c r="BK6" s="153">
        <f>BI6-BF6</f>
        <v>342</v>
      </c>
      <c r="BL6" s="153">
        <f>BJ6-BG6</f>
        <v>25835.700000000012</v>
      </c>
      <c r="BM6" s="210">
        <f>BH6-BF6</f>
        <v>-5777</v>
      </c>
      <c r="BN6" s="368">
        <v>7888</v>
      </c>
      <c r="BO6" s="372">
        <v>34287.01</v>
      </c>
      <c r="BP6" s="216">
        <v>10051</v>
      </c>
      <c r="BQ6" s="216">
        <v>42685.62</v>
      </c>
      <c r="BR6" s="216">
        <v>10440</v>
      </c>
      <c r="BS6" s="216">
        <v>43813.23</v>
      </c>
      <c r="BT6" s="216">
        <f t="shared" ref="BT6:BT23" si="15">BN6+BP6+BR6</f>
        <v>28379</v>
      </c>
      <c r="BU6" s="216">
        <f t="shared" ref="BU6:BU23" si="16">BO6+BQ6+BS6</f>
        <v>120785.86000000002</v>
      </c>
      <c r="BV6" s="216">
        <v>26000</v>
      </c>
      <c r="BW6" s="216">
        <v>127400</v>
      </c>
      <c r="BX6" s="216">
        <f t="shared" ref="BX6:BX22" si="17">BV6-BT6</f>
        <v>-2379</v>
      </c>
      <c r="BY6" s="216">
        <f t="shared" ref="BY6:BY22" si="18">BW6-BU6</f>
        <v>6614.1399999999849</v>
      </c>
      <c r="BZ6" s="216">
        <v>27646</v>
      </c>
      <c r="CA6" s="374">
        <f t="shared" ref="CA6:CB8" si="19">B6+D6+F6+R6+T6+V6+AR6+AT6+AV6+BN6+BP6+BR6</f>
        <v>82037</v>
      </c>
      <c r="CB6" s="374">
        <f t="shared" si="19"/>
        <v>359550.16</v>
      </c>
      <c r="CC6" s="216">
        <v>80000</v>
      </c>
      <c r="CD6" s="216">
        <v>392000</v>
      </c>
      <c r="CE6" s="216">
        <f t="shared" ref="CE6:CE22" si="20">CC6-CA6</f>
        <v>-2037</v>
      </c>
      <c r="CF6" s="216">
        <f t="shared" ref="CF6:CF22" si="21">CD6-CB6</f>
        <v>32449.840000000026</v>
      </c>
      <c r="CG6" s="230">
        <v>75527</v>
      </c>
      <c r="CH6" s="228">
        <v>76306</v>
      </c>
    </row>
    <row r="7" spans="1:86" ht="16.5" thickBot="1" x14ac:dyDescent="0.3">
      <c r="A7" s="29" t="s">
        <v>11</v>
      </c>
      <c r="B7" s="360">
        <v>8447</v>
      </c>
      <c r="C7" s="360">
        <v>31683.97</v>
      </c>
      <c r="D7" s="360">
        <v>11222</v>
      </c>
      <c r="E7" s="360">
        <v>41581.21</v>
      </c>
      <c r="F7" s="360">
        <v>6999</v>
      </c>
      <c r="G7" s="360">
        <v>26461.1</v>
      </c>
      <c r="H7" s="364">
        <f t="shared" si="0"/>
        <v>26668</v>
      </c>
      <c r="I7" s="364">
        <f t="shared" si="0"/>
        <v>99726.28</v>
      </c>
      <c r="J7" s="188">
        <v>23000</v>
      </c>
      <c r="K7" s="188">
        <v>96600</v>
      </c>
      <c r="L7" s="127">
        <f t="shared" si="1"/>
        <v>-3668</v>
      </c>
      <c r="M7" s="127">
        <f t="shared" si="1"/>
        <v>-3126.2799999999988</v>
      </c>
      <c r="N7" s="126">
        <v>22079</v>
      </c>
      <c r="O7" s="126">
        <v>75623.53</v>
      </c>
      <c r="P7" s="9">
        <f t="shared" si="2"/>
        <v>-4589</v>
      </c>
      <c r="Q7" s="9">
        <f t="shared" si="3"/>
        <v>-24102.75</v>
      </c>
      <c r="R7" s="368">
        <v>5104</v>
      </c>
      <c r="S7" s="368">
        <v>19728.27</v>
      </c>
      <c r="T7" s="368">
        <v>3389</v>
      </c>
      <c r="U7" s="368">
        <v>13111.66</v>
      </c>
      <c r="V7" s="368">
        <v>4560</v>
      </c>
      <c r="W7" s="368">
        <v>17940.93</v>
      </c>
      <c r="X7" s="151">
        <f t="shared" si="4"/>
        <v>13053</v>
      </c>
      <c r="Y7" s="151">
        <f t="shared" si="4"/>
        <v>50780.86</v>
      </c>
      <c r="Z7" s="148">
        <v>19500</v>
      </c>
      <c r="AA7" s="148">
        <v>96600</v>
      </c>
      <c r="AB7" s="153">
        <f t="shared" si="5"/>
        <v>6447</v>
      </c>
      <c r="AC7" s="153">
        <f t="shared" si="5"/>
        <v>45819.14</v>
      </c>
      <c r="AD7" s="154">
        <v>15935</v>
      </c>
      <c r="AE7" s="154">
        <v>55236.88</v>
      </c>
      <c r="AF7" s="151">
        <f t="shared" si="6"/>
        <v>2882</v>
      </c>
      <c r="AG7" s="151">
        <f t="shared" si="6"/>
        <v>4456.0199999999968</v>
      </c>
      <c r="AH7" s="155">
        <f>H7+X7</f>
        <v>39721</v>
      </c>
      <c r="AI7" s="155">
        <f>I7+Y7</f>
        <v>150507.14000000001</v>
      </c>
      <c r="AJ7" s="156">
        <v>38014</v>
      </c>
      <c r="AK7" s="156">
        <v>130860</v>
      </c>
      <c r="AL7" s="148">
        <f t="shared" si="7"/>
        <v>42500</v>
      </c>
      <c r="AM7" s="148">
        <f t="shared" si="8"/>
        <v>193200</v>
      </c>
      <c r="AN7" s="149">
        <f t="shared" si="9"/>
        <v>2779</v>
      </c>
      <c r="AO7" s="149">
        <f t="shared" si="9"/>
        <v>42692.859999999986</v>
      </c>
      <c r="AP7" s="150">
        <f t="shared" si="10"/>
        <v>-1707</v>
      </c>
      <c r="AQ7" s="150">
        <f t="shared" si="10"/>
        <v>-19647.140000000014</v>
      </c>
      <c r="AR7" s="368">
        <v>2700</v>
      </c>
      <c r="AS7" s="368">
        <v>10301.99</v>
      </c>
      <c r="AT7" s="368">
        <v>1332</v>
      </c>
      <c r="AU7" s="368">
        <v>4970.97</v>
      </c>
      <c r="AV7" s="368">
        <v>8310</v>
      </c>
      <c r="AW7" s="368">
        <v>30547.91</v>
      </c>
      <c r="AX7" s="148">
        <f t="shared" ref="AX7:AX22" si="22">AR7+AT7+AV7</f>
        <v>12342</v>
      </c>
      <c r="AY7" s="148">
        <f t="shared" ref="AY7:AY22" si="23">AS7+AU7+AW7</f>
        <v>45820.869999999995</v>
      </c>
      <c r="AZ7" s="168">
        <f>4000+4000+7000</f>
        <v>15000</v>
      </c>
      <c r="BA7" s="168">
        <f>16800+16800+29400</f>
        <v>63000</v>
      </c>
      <c r="BB7" s="149">
        <f t="shared" ref="BB7:BB23" si="24">AZ7-AX7</f>
        <v>2658</v>
      </c>
      <c r="BC7" s="149">
        <f t="shared" ref="BC7:BC23" si="25">BA7-AY7</f>
        <v>17179.130000000005</v>
      </c>
      <c r="BD7" s="148">
        <v>14274</v>
      </c>
      <c r="BE7" s="210">
        <f t="shared" ref="BE7:BE22" si="26">BD7-AX7</f>
        <v>1932</v>
      </c>
      <c r="BF7" s="148">
        <f t="shared" si="11"/>
        <v>52063</v>
      </c>
      <c r="BG7" s="148">
        <f t="shared" si="12"/>
        <v>196328.01</v>
      </c>
      <c r="BH7" s="209">
        <v>52288</v>
      </c>
      <c r="BI7" s="150">
        <f t="shared" si="13"/>
        <v>57500</v>
      </c>
      <c r="BJ7" s="150">
        <f t="shared" si="14"/>
        <v>256200</v>
      </c>
      <c r="BK7" s="153">
        <f>BI7-BF7</f>
        <v>5437</v>
      </c>
      <c r="BL7" s="153">
        <f>BJ7-BG7</f>
        <v>59871.989999999991</v>
      </c>
      <c r="BM7" s="210">
        <f t="shared" ref="BM7:BM22" si="27">BH7-BF7</f>
        <v>225</v>
      </c>
      <c r="BN7" s="368">
        <v>10938</v>
      </c>
      <c r="BO7" s="372">
        <v>40272.82</v>
      </c>
      <c r="BP7" s="216">
        <v>9354</v>
      </c>
      <c r="BQ7" s="216">
        <v>33506.879999999997</v>
      </c>
      <c r="BR7" s="216">
        <v>11377</v>
      </c>
      <c r="BS7" s="216">
        <v>40181.949999999997</v>
      </c>
      <c r="BT7" s="216">
        <f t="shared" si="15"/>
        <v>31669</v>
      </c>
      <c r="BU7" s="216">
        <f t="shared" si="16"/>
        <v>113961.65</v>
      </c>
      <c r="BV7" s="216">
        <v>29500</v>
      </c>
      <c r="BW7" s="216">
        <v>123900</v>
      </c>
      <c r="BX7" s="216">
        <f t="shared" si="17"/>
        <v>-2169</v>
      </c>
      <c r="BY7" s="216">
        <f t="shared" si="18"/>
        <v>9938.3500000000058</v>
      </c>
      <c r="BZ7" s="216">
        <v>31681</v>
      </c>
      <c r="CA7" s="374">
        <f t="shared" si="19"/>
        <v>83732</v>
      </c>
      <c r="CB7" s="374">
        <f t="shared" si="19"/>
        <v>310289.65999999997</v>
      </c>
      <c r="CC7" s="216">
        <v>87000</v>
      </c>
      <c r="CD7" s="216">
        <v>365400</v>
      </c>
      <c r="CE7" s="216">
        <f t="shared" si="20"/>
        <v>3268</v>
      </c>
      <c r="CF7" s="216">
        <f t="shared" si="21"/>
        <v>55110.340000000026</v>
      </c>
      <c r="CG7" s="230">
        <v>83969</v>
      </c>
      <c r="CH7" s="228">
        <v>86732</v>
      </c>
    </row>
    <row r="8" spans="1:86" ht="16.5" thickBot="1" x14ac:dyDescent="0.3">
      <c r="A8" s="29" t="s">
        <v>12</v>
      </c>
      <c r="B8" s="360">
        <v>3742</v>
      </c>
      <c r="C8" s="360">
        <v>14328.61</v>
      </c>
      <c r="D8" s="360">
        <v>4433</v>
      </c>
      <c r="E8" s="360">
        <v>16622.47</v>
      </c>
      <c r="F8" s="360">
        <v>3597</v>
      </c>
      <c r="G8" s="360">
        <v>13757.4</v>
      </c>
      <c r="H8" s="364">
        <f t="shared" si="0"/>
        <v>11772</v>
      </c>
      <c r="I8" s="364">
        <f t="shared" si="0"/>
        <v>44708.480000000003</v>
      </c>
      <c r="J8" s="188">
        <v>13500</v>
      </c>
      <c r="K8" s="188">
        <v>60750</v>
      </c>
      <c r="L8" s="127">
        <f t="shared" si="1"/>
        <v>1728</v>
      </c>
      <c r="M8" s="127">
        <f t="shared" si="1"/>
        <v>16041.519999999997</v>
      </c>
      <c r="N8" s="126">
        <v>11812</v>
      </c>
      <c r="O8" s="126">
        <v>41028.339999999997</v>
      </c>
      <c r="P8" s="9">
        <f t="shared" si="2"/>
        <v>40</v>
      </c>
      <c r="Q8" s="9">
        <f t="shared" si="3"/>
        <v>-3680.1400000000067</v>
      </c>
      <c r="R8" s="368">
        <v>3785</v>
      </c>
      <c r="S8" s="368">
        <v>14800.17</v>
      </c>
      <c r="T8" s="368">
        <v>3695</v>
      </c>
      <c r="U8" s="368">
        <v>14421.85</v>
      </c>
      <c r="V8" s="368">
        <v>2752</v>
      </c>
      <c r="W8" s="368">
        <v>10964.47</v>
      </c>
      <c r="X8" s="151">
        <f t="shared" si="4"/>
        <v>10232</v>
      </c>
      <c r="Y8" s="151">
        <f t="shared" si="4"/>
        <v>40186.49</v>
      </c>
      <c r="Z8" s="148">
        <v>10000</v>
      </c>
      <c r="AA8" s="148">
        <v>45000</v>
      </c>
      <c r="AB8" s="153">
        <f t="shared" si="5"/>
        <v>-232</v>
      </c>
      <c r="AC8" s="153">
        <f t="shared" si="5"/>
        <v>4813.510000000002</v>
      </c>
      <c r="AD8" s="154">
        <v>9667</v>
      </c>
      <c r="AE8" s="154">
        <v>33901.5</v>
      </c>
      <c r="AF8" s="151">
        <f t="shared" si="6"/>
        <v>-565</v>
      </c>
      <c r="AG8" s="151">
        <f t="shared" si="6"/>
        <v>-6284.989999999998</v>
      </c>
      <c r="AH8" s="155">
        <f t="shared" ref="AH8:AH22" si="28">H8+X8</f>
        <v>22004</v>
      </c>
      <c r="AI8" s="155">
        <f t="shared" ref="AI8:AI22" si="29">I8+Y8</f>
        <v>84894.97</v>
      </c>
      <c r="AJ8" s="156">
        <v>21473</v>
      </c>
      <c r="AK8" s="156">
        <v>74930</v>
      </c>
      <c r="AL8" s="148">
        <f t="shared" si="7"/>
        <v>23500</v>
      </c>
      <c r="AM8" s="148">
        <f t="shared" si="8"/>
        <v>105750</v>
      </c>
      <c r="AN8" s="149">
        <f t="shared" si="9"/>
        <v>1496</v>
      </c>
      <c r="AO8" s="149">
        <f t="shared" si="9"/>
        <v>20855.03</v>
      </c>
      <c r="AP8" s="150">
        <f t="shared" si="10"/>
        <v>-531</v>
      </c>
      <c r="AQ8" s="150">
        <f t="shared" si="10"/>
        <v>-9964.9700000000012</v>
      </c>
      <c r="AR8" s="368">
        <f>160+685</f>
        <v>845</v>
      </c>
      <c r="AS8" s="368">
        <v>3330.51</v>
      </c>
      <c r="AT8" s="368">
        <f>208+1803</f>
        <v>2011</v>
      </c>
      <c r="AU8" s="368">
        <v>7643.25</v>
      </c>
      <c r="AV8" s="368">
        <f>215+3300</f>
        <v>3515</v>
      </c>
      <c r="AW8" s="368">
        <v>13064.23</v>
      </c>
      <c r="AX8" s="148">
        <f t="shared" si="22"/>
        <v>6371</v>
      </c>
      <c r="AY8" s="148">
        <f t="shared" si="23"/>
        <v>24037.989999999998</v>
      </c>
      <c r="AZ8" s="168">
        <f>6500</f>
        <v>6500</v>
      </c>
      <c r="BA8" s="168">
        <f>9000+9000+11200</f>
        <v>29200</v>
      </c>
      <c r="BB8" s="149">
        <f t="shared" si="24"/>
        <v>129</v>
      </c>
      <c r="BC8" s="149">
        <f t="shared" si="25"/>
        <v>5162.010000000002</v>
      </c>
      <c r="BD8" s="148">
        <v>6067</v>
      </c>
      <c r="BE8" s="210">
        <f t="shared" si="26"/>
        <v>-304</v>
      </c>
      <c r="BF8" s="148">
        <f t="shared" si="11"/>
        <v>28375</v>
      </c>
      <c r="BG8" s="148">
        <f t="shared" si="12"/>
        <v>108932.95999999999</v>
      </c>
      <c r="BH8" s="209">
        <v>27546</v>
      </c>
      <c r="BI8" s="150">
        <f t="shared" si="13"/>
        <v>30000</v>
      </c>
      <c r="BJ8" s="150">
        <f t="shared" si="14"/>
        <v>134950</v>
      </c>
      <c r="BK8" s="153">
        <f t="shared" ref="BK8:BK23" si="30">BI8-BF8</f>
        <v>1625</v>
      </c>
      <c r="BL8" s="153">
        <f t="shared" ref="BL8:BL23" si="31">BJ8-BG8</f>
        <v>26017.040000000008</v>
      </c>
      <c r="BM8" s="210">
        <f t="shared" si="27"/>
        <v>-829</v>
      </c>
      <c r="BN8" s="368">
        <f>373+4532</f>
        <v>4905</v>
      </c>
      <c r="BO8" s="372">
        <v>18307.78</v>
      </c>
      <c r="BP8" s="216">
        <v>4502</v>
      </c>
      <c r="BQ8" s="216">
        <v>16414.439999999999</v>
      </c>
      <c r="BR8" s="216">
        <v>4802</v>
      </c>
      <c r="BS8" s="216">
        <v>17307.669999999998</v>
      </c>
      <c r="BT8" s="216">
        <f t="shared" si="15"/>
        <v>14209</v>
      </c>
      <c r="BU8" s="216">
        <f t="shared" si="16"/>
        <v>52029.89</v>
      </c>
      <c r="BV8" s="216">
        <v>13500</v>
      </c>
      <c r="BW8" s="216">
        <v>60800</v>
      </c>
      <c r="BX8" s="216">
        <f t="shared" si="17"/>
        <v>-709</v>
      </c>
      <c r="BY8" s="216">
        <f t="shared" si="18"/>
        <v>8770.11</v>
      </c>
      <c r="BZ8" s="216">
        <v>13898</v>
      </c>
      <c r="CA8" s="374">
        <f t="shared" si="19"/>
        <v>42584</v>
      </c>
      <c r="CB8" s="374">
        <f t="shared" si="19"/>
        <v>160962.84999999998</v>
      </c>
      <c r="CC8" s="216">
        <v>43500</v>
      </c>
      <c r="CD8" s="216">
        <v>195800</v>
      </c>
      <c r="CE8" s="216">
        <f t="shared" si="20"/>
        <v>916</v>
      </c>
      <c r="CF8" s="216">
        <f t="shared" si="21"/>
        <v>34837.150000000023</v>
      </c>
      <c r="CG8" s="230">
        <v>41444</v>
      </c>
      <c r="CH8" s="228">
        <v>51997</v>
      </c>
    </row>
    <row r="9" spans="1:86" ht="16.5" thickBot="1" x14ac:dyDescent="0.3">
      <c r="A9" s="29" t="s">
        <v>13</v>
      </c>
      <c r="B9" s="360">
        <v>2439</v>
      </c>
      <c r="C9" s="360">
        <v>10832.12</v>
      </c>
      <c r="D9" s="360">
        <v>2710</v>
      </c>
      <c r="E9" s="360">
        <v>11912.16</v>
      </c>
      <c r="F9" s="360">
        <v>2667</v>
      </c>
      <c r="G9" s="360">
        <v>11856.17</v>
      </c>
      <c r="H9" s="364">
        <f t="shared" si="0"/>
        <v>7816</v>
      </c>
      <c r="I9" s="364">
        <f t="shared" si="0"/>
        <v>34600.449999999997</v>
      </c>
      <c r="J9" s="188">
        <v>8000</v>
      </c>
      <c r="K9" s="188">
        <v>39200</v>
      </c>
      <c r="L9" s="127">
        <f t="shared" si="1"/>
        <v>184</v>
      </c>
      <c r="M9" s="127">
        <f t="shared" si="1"/>
        <v>4599.5500000000029</v>
      </c>
      <c r="N9" s="126">
        <v>7464</v>
      </c>
      <c r="O9" s="126">
        <v>29975.230000000003</v>
      </c>
      <c r="P9" s="9">
        <f t="shared" si="2"/>
        <v>-352</v>
      </c>
      <c r="Q9" s="9">
        <f t="shared" si="3"/>
        <v>-4625.2199999999939</v>
      </c>
      <c r="R9" s="368">
        <v>2010</v>
      </c>
      <c r="S9" s="368">
        <v>9105.43</v>
      </c>
      <c r="T9" s="368">
        <v>2218</v>
      </c>
      <c r="U9" s="368">
        <v>10055.75</v>
      </c>
      <c r="V9" s="368">
        <v>2650</v>
      </c>
      <c r="W9" s="368">
        <v>12187.95</v>
      </c>
      <c r="X9" s="151">
        <f t="shared" si="4"/>
        <v>6878</v>
      </c>
      <c r="Y9" s="151">
        <f t="shared" si="4"/>
        <v>31349.13</v>
      </c>
      <c r="Z9" s="148">
        <v>6000</v>
      </c>
      <c r="AA9" s="148">
        <v>29400</v>
      </c>
      <c r="AB9" s="153">
        <f t="shared" si="5"/>
        <v>-878</v>
      </c>
      <c r="AC9" s="153">
        <f t="shared" si="5"/>
        <v>-1949.130000000001</v>
      </c>
      <c r="AD9" s="154">
        <v>6381</v>
      </c>
      <c r="AE9" s="154">
        <v>25725.29</v>
      </c>
      <c r="AF9" s="151">
        <f t="shared" si="6"/>
        <v>-497</v>
      </c>
      <c r="AG9" s="151">
        <f t="shared" si="6"/>
        <v>-5623.84</v>
      </c>
      <c r="AH9" s="155">
        <f t="shared" si="28"/>
        <v>14694</v>
      </c>
      <c r="AI9" s="155">
        <f t="shared" si="29"/>
        <v>65949.58</v>
      </c>
      <c r="AJ9" s="156">
        <v>13845</v>
      </c>
      <c r="AK9" s="156">
        <v>55701</v>
      </c>
      <c r="AL9" s="148">
        <f t="shared" si="7"/>
        <v>14000</v>
      </c>
      <c r="AM9" s="148">
        <f t="shared" si="8"/>
        <v>68600</v>
      </c>
      <c r="AN9" s="149">
        <f t="shared" si="9"/>
        <v>-694</v>
      </c>
      <c r="AO9" s="149">
        <f t="shared" si="9"/>
        <v>2650.4199999999983</v>
      </c>
      <c r="AP9" s="150">
        <f t="shared" si="10"/>
        <v>-849</v>
      </c>
      <c r="AQ9" s="150">
        <f t="shared" si="10"/>
        <v>-10248.580000000002</v>
      </c>
      <c r="AR9" s="368">
        <v>416</v>
      </c>
      <c r="AS9" s="368">
        <v>1863.83</v>
      </c>
      <c r="AT9" s="368">
        <v>225</v>
      </c>
      <c r="AU9" s="368">
        <v>989.28</v>
      </c>
      <c r="AV9" s="368">
        <v>2775</v>
      </c>
      <c r="AW9" s="368">
        <v>12045.86</v>
      </c>
      <c r="AX9" s="148">
        <f t="shared" si="22"/>
        <v>3416</v>
      </c>
      <c r="AY9" s="148">
        <f t="shared" si="23"/>
        <v>14898.970000000001</v>
      </c>
      <c r="AZ9" s="168">
        <f>3000</f>
        <v>3000</v>
      </c>
      <c r="BA9" s="168">
        <f>4900+4900+4900</f>
        <v>14700</v>
      </c>
      <c r="BB9" s="149">
        <f t="shared" si="24"/>
        <v>-416</v>
      </c>
      <c r="BC9" s="149">
        <f t="shared" si="25"/>
        <v>-198.97000000000116</v>
      </c>
      <c r="BD9" s="148">
        <v>2290</v>
      </c>
      <c r="BE9" s="210">
        <f t="shared" si="26"/>
        <v>-1126</v>
      </c>
      <c r="BF9" s="148">
        <f t="shared" si="11"/>
        <v>18110</v>
      </c>
      <c r="BG9" s="148">
        <f t="shared" si="12"/>
        <v>80848.55</v>
      </c>
      <c r="BH9" s="209">
        <v>16135</v>
      </c>
      <c r="BI9" s="150">
        <f t="shared" si="13"/>
        <v>17000</v>
      </c>
      <c r="BJ9" s="150">
        <f t="shared" si="14"/>
        <v>83300</v>
      </c>
      <c r="BK9" s="153">
        <f t="shared" si="30"/>
        <v>-1110</v>
      </c>
      <c r="BL9" s="153">
        <f t="shared" si="31"/>
        <v>2451.4499999999971</v>
      </c>
      <c r="BM9" s="210">
        <f t="shared" si="27"/>
        <v>-1975</v>
      </c>
      <c r="BN9" s="368">
        <v>2463</v>
      </c>
      <c r="BO9" s="372">
        <v>10706</v>
      </c>
      <c r="BP9" s="216">
        <v>2779</v>
      </c>
      <c r="BQ9" s="216">
        <v>11802.15</v>
      </c>
      <c r="BR9" s="216">
        <v>2941</v>
      </c>
      <c r="BS9" s="216">
        <v>12342.41</v>
      </c>
      <c r="BT9" s="216">
        <f t="shared" si="15"/>
        <v>8183</v>
      </c>
      <c r="BU9" s="216">
        <f t="shared" si="16"/>
        <v>34850.559999999998</v>
      </c>
      <c r="BV9" s="216">
        <v>8000</v>
      </c>
      <c r="BW9" s="216">
        <v>39200</v>
      </c>
      <c r="BX9" s="216">
        <f t="shared" si="17"/>
        <v>-183</v>
      </c>
      <c r="BY9" s="216">
        <f t="shared" si="18"/>
        <v>4349.4400000000023</v>
      </c>
      <c r="BZ9" s="216">
        <v>9221</v>
      </c>
      <c r="CA9" s="374">
        <f>B9+D9+F9+R9+T9+V9+AR9+AT9+AV9+BP9+BR9+BN9</f>
        <v>26293</v>
      </c>
      <c r="CB9" s="374">
        <f>C9+E9+G9+S9+U9+W9+AS9+AU9+AW9+BO9+BQ9+BS9</f>
        <v>115699.11</v>
      </c>
      <c r="CC9" s="216">
        <v>25000</v>
      </c>
      <c r="CD9" s="216">
        <v>122500</v>
      </c>
      <c r="CE9" s="216">
        <f t="shared" si="20"/>
        <v>-1293</v>
      </c>
      <c r="CF9" s="216">
        <f t="shared" si="21"/>
        <v>6800.8899999999994</v>
      </c>
      <c r="CG9" s="230">
        <v>25356</v>
      </c>
      <c r="CH9" s="228">
        <v>59373</v>
      </c>
    </row>
    <row r="10" spans="1:86" ht="16.5" thickBot="1" x14ac:dyDescent="0.3">
      <c r="A10" s="29" t="s">
        <v>14</v>
      </c>
      <c r="B10" s="360">
        <v>634</v>
      </c>
      <c r="C10" s="360">
        <v>2815.73</v>
      </c>
      <c r="D10" s="360">
        <v>1949</v>
      </c>
      <c r="E10" s="360">
        <v>8567.08</v>
      </c>
      <c r="F10" s="360">
        <v>1293</v>
      </c>
      <c r="G10" s="360">
        <v>5748.04</v>
      </c>
      <c r="H10" s="364">
        <f t="shared" si="0"/>
        <v>3876</v>
      </c>
      <c r="I10" s="364">
        <f t="shared" si="0"/>
        <v>17130.849999999999</v>
      </c>
      <c r="J10" s="188">
        <v>5000</v>
      </c>
      <c r="K10" s="188">
        <v>24600</v>
      </c>
      <c r="L10" s="127">
        <f t="shared" si="1"/>
        <v>1124</v>
      </c>
      <c r="M10" s="127">
        <f t="shared" si="1"/>
        <v>7469.1500000000015</v>
      </c>
      <c r="N10" s="126">
        <v>5088</v>
      </c>
      <c r="O10" s="126">
        <v>20398.349999999999</v>
      </c>
      <c r="P10" s="9">
        <f t="shared" si="2"/>
        <v>1212</v>
      </c>
      <c r="Q10" s="9">
        <f t="shared" si="3"/>
        <v>3267.5</v>
      </c>
      <c r="R10" s="368">
        <v>831</v>
      </c>
      <c r="S10" s="368">
        <v>3764.48</v>
      </c>
      <c r="T10" s="368">
        <v>1335</v>
      </c>
      <c r="U10" s="368">
        <v>6052.49</v>
      </c>
      <c r="V10" s="368">
        <v>1398</v>
      </c>
      <c r="W10" s="368">
        <v>6429.71</v>
      </c>
      <c r="X10" s="151">
        <f t="shared" si="4"/>
        <v>3564</v>
      </c>
      <c r="Y10" s="151">
        <f t="shared" si="4"/>
        <v>16246.68</v>
      </c>
      <c r="Z10" s="148">
        <v>4000</v>
      </c>
      <c r="AA10" s="148">
        <v>19600</v>
      </c>
      <c r="AB10" s="153">
        <f t="shared" si="5"/>
        <v>436</v>
      </c>
      <c r="AC10" s="153">
        <f t="shared" si="5"/>
        <v>3353.3199999999997</v>
      </c>
      <c r="AD10" s="154">
        <v>3707</v>
      </c>
      <c r="AE10" s="154">
        <v>14943.14</v>
      </c>
      <c r="AF10" s="151">
        <f t="shared" si="6"/>
        <v>143</v>
      </c>
      <c r="AG10" s="151">
        <f t="shared" si="6"/>
        <v>-1303.5400000000009</v>
      </c>
      <c r="AH10" s="155">
        <f t="shared" si="28"/>
        <v>7440</v>
      </c>
      <c r="AI10" s="155">
        <f t="shared" si="29"/>
        <v>33377.53</v>
      </c>
      <c r="AJ10" s="156">
        <v>8795</v>
      </c>
      <c r="AK10" s="156">
        <v>35341</v>
      </c>
      <c r="AL10" s="148">
        <f t="shared" si="7"/>
        <v>9000</v>
      </c>
      <c r="AM10" s="148">
        <f t="shared" si="8"/>
        <v>44200</v>
      </c>
      <c r="AN10" s="149">
        <f t="shared" si="9"/>
        <v>1560</v>
      </c>
      <c r="AO10" s="149">
        <f t="shared" si="9"/>
        <v>10822.470000000001</v>
      </c>
      <c r="AP10" s="150">
        <f t="shared" si="10"/>
        <v>1355</v>
      </c>
      <c r="AQ10" s="150">
        <f t="shared" si="10"/>
        <v>1963.4700000000012</v>
      </c>
      <c r="AR10" s="368">
        <v>239</v>
      </c>
      <c r="AS10" s="368">
        <v>1070.8</v>
      </c>
      <c r="AT10" s="368">
        <v>448</v>
      </c>
      <c r="AU10" s="368">
        <v>1969.75</v>
      </c>
      <c r="AV10" s="368">
        <v>1005</v>
      </c>
      <c r="AW10" s="368">
        <v>4362.55</v>
      </c>
      <c r="AX10" s="148">
        <f t="shared" si="22"/>
        <v>1692</v>
      </c>
      <c r="AY10" s="148">
        <f t="shared" si="23"/>
        <v>7403.1</v>
      </c>
      <c r="AZ10" s="168">
        <f>2000</f>
        <v>2000</v>
      </c>
      <c r="BA10" s="168">
        <f>2500+2400+4900</f>
        <v>9800</v>
      </c>
      <c r="BB10" s="149">
        <f t="shared" si="24"/>
        <v>308</v>
      </c>
      <c r="BC10" s="149">
        <f t="shared" si="25"/>
        <v>2396.8999999999996</v>
      </c>
      <c r="BD10" s="148">
        <v>2033</v>
      </c>
      <c r="BE10" s="210">
        <f t="shared" si="26"/>
        <v>341</v>
      </c>
      <c r="BF10" s="148">
        <f t="shared" si="11"/>
        <v>9132</v>
      </c>
      <c r="BG10" s="148">
        <f t="shared" si="12"/>
        <v>40780.629999999997</v>
      </c>
      <c r="BH10" s="209">
        <v>10828</v>
      </c>
      <c r="BI10" s="150">
        <f t="shared" si="13"/>
        <v>11000</v>
      </c>
      <c r="BJ10" s="150">
        <f t="shared" si="14"/>
        <v>54000</v>
      </c>
      <c r="BK10" s="153">
        <f t="shared" si="30"/>
        <v>1868</v>
      </c>
      <c r="BL10" s="153">
        <f t="shared" si="31"/>
        <v>13219.370000000003</v>
      </c>
      <c r="BM10" s="210">
        <f t="shared" si="27"/>
        <v>1696</v>
      </c>
      <c r="BN10" s="368">
        <v>1532</v>
      </c>
      <c r="BO10" s="372">
        <v>6659.19</v>
      </c>
      <c r="BP10" s="216">
        <v>939</v>
      </c>
      <c r="BQ10" s="216">
        <v>3987.85</v>
      </c>
      <c r="BR10" s="216">
        <v>1641</v>
      </c>
      <c r="BS10" s="216">
        <v>6886.74</v>
      </c>
      <c r="BT10" s="216">
        <f t="shared" si="15"/>
        <v>4112</v>
      </c>
      <c r="BU10" s="216">
        <f t="shared" si="16"/>
        <v>17533.78</v>
      </c>
      <c r="BV10" s="216">
        <v>7000</v>
      </c>
      <c r="BW10" s="216">
        <v>35000</v>
      </c>
      <c r="BX10" s="216">
        <f t="shared" si="17"/>
        <v>2888</v>
      </c>
      <c r="BY10" s="216">
        <f t="shared" si="18"/>
        <v>17466.22</v>
      </c>
      <c r="BZ10" s="216">
        <v>5908</v>
      </c>
      <c r="CA10" s="374">
        <f>B10+D10+F10+R10+T10+V10+AR10+AT10+AV10+BN10+BP10+BR10</f>
        <v>13244</v>
      </c>
      <c r="CB10" s="374">
        <f>C10+E10+G10+S10+U10+W10+AS10+AU10+AW10+BO10+BQ10+BS10</f>
        <v>58314.41</v>
      </c>
      <c r="CC10" s="216">
        <v>18000</v>
      </c>
      <c r="CD10" s="216">
        <v>89000</v>
      </c>
      <c r="CE10" s="216">
        <f t="shared" si="20"/>
        <v>4756</v>
      </c>
      <c r="CF10" s="216">
        <f t="shared" si="21"/>
        <v>30685.589999999997</v>
      </c>
      <c r="CG10" s="230">
        <v>16736</v>
      </c>
      <c r="CH10" s="228">
        <v>34592</v>
      </c>
    </row>
    <row r="11" spans="1:86" ht="16.5" thickBot="1" x14ac:dyDescent="0.3">
      <c r="A11" s="29" t="s">
        <v>15</v>
      </c>
      <c r="B11" s="360">
        <v>1745</v>
      </c>
      <c r="C11" s="360">
        <v>6545.34</v>
      </c>
      <c r="D11" s="360">
        <v>1847</v>
      </c>
      <c r="E11" s="360">
        <v>6843.74</v>
      </c>
      <c r="F11" s="360">
        <v>1847</v>
      </c>
      <c r="G11" s="360">
        <v>6982.95</v>
      </c>
      <c r="H11" s="364">
        <f t="shared" si="0"/>
        <v>5439</v>
      </c>
      <c r="I11" s="364">
        <f t="shared" si="0"/>
        <v>20372.03</v>
      </c>
      <c r="J11" s="188">
        <v>5500</v>
      </c>
      <c r="K11" s="188">
        <v>23100</v>
      </c>
      <c r="L11" s="127">
        <f t="shared" si="1"/>
        <v>61</v>
      </c>
      <c r="M11" s="127">
        <f t="shared" si="1"/>
        <v>2727.9700000000012</v>
      </c>
      <c r="N11" s="126">
        <v>5601</v>
      </c>
      <c r="O11" s="126">
        <v>19078.919999999998</v>
      </c>
      <c r="P11" s="9">
        <f t="shared" si="2"/>
        <v>162</v>
      </c>
      <c r="Q11" s="9">
        <f t="shared" si="3"/>
        <v>-1293.1100000000006</v>
      </c>
      <c r="R11" s="368">
        <v>2090</v>
      </c>
      <c r="S11" s="368">
        <v>8078.39</v>
      </c>
      <c r="T11" s="368">
        <v>1563</v>
      </c>
      <c r="U11" s="368">
        <v>6047.08</v>
      </c>
      <c r="V11" s="368">
        <v>954</v>
      </c>
      <c r="W11" s="368">
        <v>3753.43</v>
      </c>
      <c r="X11" s="151">
        <f t="shared" si="4"/>
        <v>4607</v>
      </c>
      <c r="Y11" s="151">
        <f t="shared" si="4"/>
        <v>17878.900000000001</v>
      </c>
      <c r="Z11" s="148">
        <v>5000</v>
      </c>
      <c r="AA11" s="148">
        <v>21000</v>
      </c>
      <c r="AB11" s="153">
        <f t="shared" si="5"/>
        <v>393</v>
      </c>
      <c r="AC11" s="153">
        <f t="shared" si="5"/>
        <v>3121.0999999999985</v>
      </c>
      <c r="AD11" s="154">
        <v>5031</v>
      </c>
      <c r="AE11" s="154">
        <v>17458.62</v>
      </c>
      <c r="AF11" s="151">
        <f t="shared" si="6"/>
        <v>424</v>
      </c>
      <c r="AG11" s="151">
        <f t="shared" si="6"/>
        <v>-420.28000000000247</v>
      </c>
      <c r="AH11" s="155">
        <f t="shared" si="28"/>
        <v>10046</v>
      </c>
      <c r="AI11" s="155">
        <f t="shared" si="29"/>
        <v>38250.93</v>
      </c>
      <c r="AJ11" s="156">
        <v>10632</v>
      </c>
      <c r="AK11" s="156">
        <v>36538</v>
      </c>
      <c r="AL11" s="148">
        <f t="shared" si="7"/>
        <v>10500</v>
      </c>
      <c r="AM11" s="148">
        <f t="shared" si="8"/>
        <v>44100</v>
      </c>
      <c r="AN11" s="149">
        <f t="shared" si="9"/>
        <v>454</v>
      </c>
      <c r="AO11" s="149">
        <f t="shared" si="9"/>
        <v>5849.07</v>
      </c>
      <c r="AP11" s="150">
        <f t="shared" si="10"/>
        <v>586</v>
      </c>
      <c r="AQ11" s="150">
        <f t="shared" si="10"/>
        <v>-1712.9300000000003</v>
      </c>
      <c r="AR11" s="368">
        <v>1400</v>
      </c>
      <c r="AS11" s="368">
        <v>5341.78</v>
      </c>
      <c r="AT11" s="368">
        <v>345</v>
      </c>
      <c r="AU11" s="368">
        <v>1287.52</v>
      </c>
      <c r="AV11" s="368">
        <v>2942</v>
      </c>
      <c r="AW11" s="368">
        <v>10814.91</v>
      </c>
      <c r="AX11" s="148">
        <f t="shared" si="22"/>
        <v>4687</v>
      </c>
      <c r="AY11" s="148">
        <f t="shared" si="23"/>
        <v>17444.21</v>
      </c>
      <c r="AZ11" s="168">
        <v>4500</v>
      </c>
      <c r="BA11" s="168">
        <f>6300+6300+6300</f>
        <v>18900</v>
      </c>
      <c r="BB11" s="149">
        <f t="shared" si="24"/>
        <v>-187</v>
      </c>
      <c r="BC11" s="149">
        <f t="shared" si="25"/>
        <v>1455.7900000000009</v>
      </c>
      <c r="BD11" s="148">
        <v>2983</v>
      </c>
      <c r="BE11" s="210">
        <f t="shared" si="26"/>
        <v>-1704</v>
      </c>
      <c r="BF11" s="148">
        <f t="shared" si="11"/>
        <v>14733</v>
      </c>
      <c r="BG11" s="148">
        <f t="shared" si="12"/>
        <v>55695.14</v>
      </c>
      <c r="BH11" s="209">
        <v>13615</v>
      </c>
      <c r="BI11" s="150">
        <f t="shared" si="13"/>
        <v>15000</v>
      </c>
      <c r="BJ11" s="150">
        <f t="shared" si="14"/>
        <v>63000</v>
      </c>
      <c r="BK11" s="153">
        <f t="shared" si="30"/>
        <v>267</v>
      </c>
      <c r="BL11" s="153">
        <f t="shared" si="31"/>
        <v>7304.8600000000006</v>
      </c>
      <c r="BM11" s="210">
        <f t="shared" si="27"/>
        <v>-1118</v>
      </c>
      <c r="BN11" s="368">
        <v>3267</v>
      </c>
      <c r="BO11" s="372">
        <v>12028.83</v>
      </c>
      <c r="BP11" s="216">
        <v>2800</v>
      </c>
      <c r="BQ11" s="216">
        <v>10029.86</v>
      </c>
      <c r="BR11" s="216">
        <v>2292</v>
      </c>
      <c r="BS11" s="216">
        <v>8095.02</v>
      </c>
      <c r="BT11" s="216">
        <f t="shared" si="15"/>
        <v>8359</v>
      </c>
      <c r="BU11" s="216">
        <f t="shared" si="16"/>
        <v>30153.710000000003</v>
      </c>
      <c r="BV11" s="216">
        <v>7000</v>
      </c>
      <c r="BW11" s="216">
        <v>29400</v>
      </c>
      <c r="BX11" s="216">
        <f t="shared" si="17"/>
        <v>-1359</v>
      </c>
      <c r="BY11" s="216">
        <f t="shared" si="18"/>
        <v>-753.71000000000276</v>
      </c>
      <c r="BZ11" s="216">
        <v>7954</v>
      </c>
      <c r="CA11" s="374">
        <f>B11+D11+F11+R11+T11+V11+AR11+AT11+AV11+BN11+BP11+BR11</f>
        <v>23092</v>
      </c>
      <c r="CB11" s="374">
        <f>C11+E11+G11+S11+U11+W11+AS11+AU11+AW11+BO11+BQ11+BS11</f>
        <v>85848.85</v>
      </c>
      <c r="CC11" s="216">
        <v>22000</v>
      </c>
      <c r="CD11" s="216">
        <v>92400</v>
      </c>
      <c r="CE11" s="216">
        <f t="shared" si="20"/>
        <v>-1092</v>
      </c>
      <c r="CF11" s="216">
        <f t="shared" si="21"/>
        <v>6551.1499999999942</v>
      </c>
      <c r="CG11" s="230">
        <v>21569</v>
      </c>
      <c r="CH11" s="228">
        <v>38445</v>
      </c>
    </row>
    <row r="12" spans="1:86" ht="16.5" thickBot="1" x14ac:dyDescent="0.3">
      <c r="A12" s="29" t="s">
        <v>131</v>
      </c>
      <c r="B12" s="360">
        <v>5636</v>
      </c>
      <c r="C12" s="360">
        <v>22355.77</v>
      </c>
      <c r="D12" s="360">
        <v>5481</v>
      </c>
      <c r="E12" s="360">
        <v>21637.74</v>
      </c>
      <c r="F12" s="360">
        <v>4937</v>
      </c>
      <c r="G12" s="360">
        <v>19641.900000000001</v>
      </c>
      <c r="H12" s="364">
        <f t="shared" si="0"/>
        <v>16054</v>
      </c>
      <c r="I12" s="364">
        <f t="shared" si="0"/>
        <v>63635.41</v>
      </c>
      <c r="J12" s="188">
        <v>13500</v>
      </c>
      <c r="K12" s="188">
        <v>56700</v>
      </c>
      <c r="L12" s="127">
        <f t="shared" si="1"/>
        <v>-2554</v>
      </c>
      <c r="M12" s="127">
        <f t="shared" si="1"/>
        <v>-6935.4100000000035</v>
      </c>
      <c r="N12" s="126">
        <v>32692</v>
      </c>
      <c r="O12" s="126">
        <v>112026.51000000001</v>
      </c>
      <c r="P12" s="9">
        <f t="shared" si="2"/>
        <v>16638</v>
      </c>
      <c r="Q12" s="9">
        <f t="shared" si="3"/>
        <v>48391.100000000006</v>
      </c>
      <c r="R12" s="368">
        <v>3871</v>
      </c>
      <c r="S12" s="368">
        <v>15576.03</v>
      </c>
      <c r="T12" s="368">
        <v>3575</v>
      </c>
      <c r="U12" s="368">
        <v>14461.53</v>
      </c>
      <c r="V12" s="368">
        <v>3147</v>
      </c>
      <c r="W12" s="368">
        <v>12381.6</v>
      </c>
      <c r="X12" s="151">
        <f t="shared" si="4"/>
        <v>10593</v>
      </c>
      <c r="Y12" s="151">
        <f t="shared" si="4"/>
        <v>42419.16</v>
      </c>
      <c r="Z12" s="148">
        <v>11500</v>
      </c>
      <c r="AA12" s="148">
        <v>48300</v>
      </c>
      <c r="AB12" s="153">
        <f t="shared" si="5"/>
        <v>907</v>
      </c>
      <c r="AC12" s="153">
        <f t="shared" si="5"/>
        <v>5880.8399999999965</v>
      </c>
      <c r="AD12" s="154">
        <v>25945</v>
      </c>
      <c r="AE12" s="154">
        <v>89806.65</v>
      </c>
      <c r="AF12" s="151">
        <f t="shared" si="6"/>
        <v>15352</v>
      </c>
      <c r="AG12" s="151">
        <f t="shared" si="6"/>
        <v>47387.489999999991</v>
      </c>
      <c r="AH12" s="155">
        <f t="shared" si="28"/>
        <v>26647</v>
      </c>
      <c r="AI12" s="155">
        <f t="shared" si="29"/>
        <v>106054.57</v>
      </c>
      <c r="AJ12" s="156">
        <v>58637</v>
      </c>
      <c r="AK12" s="156">
        <v>201833</v>
      </c>
      <c r="AL12" s="148">
        <f t="shared" si="7"/>
        <v>25000</v>
      </c>
      <c r="AM12" s="148">
        <f t="shared" si="8"/>
        <v>105000</v>
      </c>
      <c r="AN12" s="149">
        <f t="shared" si="9"/>
        <v>-1647</v>
      </c>
      <c r="AO12" s="149">
        <f t="shared" si="9"/>
        <v>-1054.570000000007</v>
      </c>
      <c r="AP12" s="150">
        <f t="shared" si="10"/>
        <v>31990</v>
      </c>
      <c r="AQ12" s="150">
        <f t="shared" si="10"/>
        <v>95778.43</v>
      </c>
      <c r="AR12" s="368">
        <v>773</v>
      </c>
      <c r="AS12" s="368">
        <v>2949.42</v>
      </c>
      <c r="AT12" s="368">
        <v>1394</v>
      </c>
      <c r="AU12" s="368">
        <v>5202.3599999999997</v>
      </c>
      <c r="AV12" s="368">
        <v>4006</v>
      </c>
      <c r="AW12" s="368">
        <v>14726.22</v>
      </c>
      <c r="AX12" s="148">
        <f t="shared" si="22"/>
        <v>6173</v>
      </c>
      <c r="AY12" s="148">
        <f t="shared" si="23"/>
        <v>22878</v>
      </c>
      <c r="AZ12" s="168">
        <f>3000+3500+4000</f>
        <v>10500</v>
      </c>
      <c r="BA12" s="168">
        <f>12600+14700+16800</f>
        <v>44100</v>
      </c>
      <c r="BB12" s="149">
        <f t="shared" si="24"/>
        <v>4327</v>
      </c>
      <c r="BC12" s="149">
        <f t="shared" si="25"/>
        <v>21222</v>
      </c>
      <c r="BD12" s="148">
        <v>17037</v>
      </c>
      <c r="BE12" s="210">
        <f t="shared" si="26"/>
        <v>10864</v>
      </c>
      <c r="BF12" s="148">
        <f t="shared" si="11"/>
        <v>32820</v>
      </c>
      <c r="BG12" s="148">
        <f t="shared" si="12"/>
        <v>128932.57</v>
      </c>
      <c r="BH12" s="209">
        <v>75674</v>
      </c>
      <c r="BI12" s="150">
        <f t="shared" si="13"/>
        <v>35500</v>
      </c>
      <c r="BJ12" s="150">
        <f t="shared" si="14"/>
        <v>149100</v>
      </c>
      <c r="BK12" s="153">
        <f t="shared" si="30"/>
        <v>2680</v>
      </c>
      <c r="BL12" s="153">
        <f t="shared" si="31"/>
        <v>20167.429999999993</v>
      </c>
      <c r="BM12" s="210">
        <f t="shared" si="27"/>
        <v>42854</v>
      </c>
      <c r="BN12" s="368">
        <v>5152</v>
      </c>
      <c r="BO12" s="372">
        <v>18969.240000000002</v>
      </c>
      <c r="BP12" s="216">
        <v>2961</v>
      </c>
      <c r="BQ12" s="216">
        <v>10606.57</v>
      </c>
      <c r="BR12" s="216">
        <v>5466</v>
      </c>
      <c r="BS12" s="216">
        <v>19305.13</v>
      </c>
      <c r="BT12" s="216">
        <f t="shared" si="15"/>
        <v>13579</v>
      </c>
      <c r="BU12" s="216">
        <f t="shared" si="16"/>
        <v>48880.94</v>
      </c>
      <c r="BV12" s="216">
        <v>14500</v>
      </c>
      <c r="BW12" s="216">
        <v>60900</v>
      </c>
      <c r="BX12" s="216">
        <f t="shared" si="17"/>
        <v>921</v>
      </c>
      <c r="BY12" s="216">
        <f t="shared" si="18"/>
        <v>12019.059999999998</v>
      </c>
      <c r="BZ12" s="216">
        <v>22099</v>
      </c>
      <c r="CA12" s="374">
        <f>B12+D12+F12+R12+T12+V12+AR12+AT12+AV12+BN12+BP12+BR12</f>
        <v>46399</v>
      </c>
      <c r="CB12" s="374">
        <f>C12+E12+G12+S12+U12+W12+AS12+AU12+AW12+BO12+BQ12+BS12</f>
        <v>177813.51</v>
      </c>
      <c r="CC12" s="216">
        <v>50000</v>
      </c>
      <c r="CD12" s="216">
        <v>210000</v>
      </c>
      <c r="CE12" s="216">
        <f t="shared" si="20"/>
        <v>3601</v>
      </c>
      <c r="CF12" s="216">
        <f t="shared" si="21"/>
        <v>32186.489999999991</v>
      </c>
      <c r="CG12" s="230">
        <v>97773</v>
      </c>
      <c r="CH12" s="228">
        <v>93220</v>
      </c>
    </row>
    <row r="13" spans="1:86" ht="16.5" thickBot="1" x14ac:dyDescent="0.3">
      <c r="A13" s="29" t="s">
        <v>16</v>
      </c>
      <c r="B13" s="360">
        <v>3280</v>
      </c>
      <c r="C13" s="360">
        <v>12303</v>
      </c>
      <c r="D13" s="360">
        <v>3955</v>
      </c>
      <c r="E13" s="360">
        <v>14654.59</v>
      </c>
      <c r="F13" s="360">
        <v>3180</v>
      </c>
      <c r="G13" s="360">
        <v>12022.62</v>
      </c>
      <c r="H13" s="364">
        <f t="shared" si="0"/>
        <v>10415</v>
      </c>
      <c r="I13" s="364">
        <f t="shared" si="0"/>
        <v>38980.21</v>
      </c>
      <c r="J13" s="188">
        <v>10000</v>
      </c>
      <c r="K13" s="188">
        <v>42000</v>
      </c>
      <c r="L13" s="127">
        <f t="shared" si="1"/>
        <v>-415</v>
      </c>
      <c r="M13" s="127">
        <f t="shared" si="1"/>
        <v>3019.7900000000009</v>
      </c>
      <c r="N13" s="126">
        <v>9866</v>
      </c>
      <c r="O13" s="126">
        <v>33694.020000000004</v>
      </c>
      <c r="P13" s="9">
        <f t="shared" si="2"/>
        <v>-549</v>
      </c>
      <c r="Q13" s="9">
        <f t="shared" si="3"/>
        <v>-5286.1899999999951</v>
      </c>
      <c r="R13" s="368">
        <v>2945</v>
      </c>
      <c r="S13" s="368">
        <v>11383.18</v>
      </c>
      <c r="T13" s="368">
        <v>2398</v>
      </c>
      <c r="U13" s="368">
        <v>9277.6</v>
      </c>
      <c r="V13" s="368">
        <v>2611</v>
      </c>
      <c r="W13" s="368">
        <v>10272.76</v>
      </c>
      <c r="X13" s="151">
        <f t="shared" si="4"/>
        <v>7954</v>
      </c>
      <c r="Y13" s="151">
        <f t="shared" si="4"/>
        <v>30933.54</v>
      </c>
      <c r="Z13" s="148">
        <v>8000</v>
      </c>
      <c r="AA13" s="148">
        <v>33600</v>
      </c>
      <c r="AB13" s="153">
        <f t="shared" si="5"/>
        <v>46</v>
      </c>
      <c r="AC13" s="153">
        <f t="shared" si="5"/>
        <v>2666.4599999999991</v>
      </c>
      <c r="AD13" s="154">
        <v>7922</v>
      </c>
      <c r="AE13" s="154">
        <v>27487.97</v>
      </c>
      <c r="AF13" s="151">
        <f t="shared" si="6"/>
        <v>-32</v>
      </c>
      <c r="AG13" s="151">
        <f t="shared" si="6"/>
        <v>-3445.5699999999997</v>
      </c>
      <c r="AH13" s="155">
        <f t="shared" si="28"/>
        <v>18369</v>
      </c>
      <c r="AI13" s="155">
        <f t="shared" si="29"/>
        <v>69913.75</v>
      </c>
      <c r="AJ13" s="156">
        <v>17788</v>
      </c>
      <c r="AK13" s="156">
        <v>61182</v>
      </c>
      <c r="AL13" s="148">
        <f t="shared" si="7"/>
        <v>18000</v>
      </c>
      <c r="AM13" s="148">
        <f t="shared" si="8"/>
        <v>75600</v>
      </c>
      <c r="AN13" s="149">
        <f t="shared" si="9"/>
        <v>-369</v>
      </c>
      <c r="AO13" s="149">
        <f t="shared" si="9"/>
        <v>5686.25</v>
      </c>
      <c r="AP13" s="150">
        <f t="shared" si="10"/>
        <v>-581</v>
      </c>
      <c r="AQ13" s="150">
        <f t="shared" si="10"/>
        <v>-8731.75</v>
      </c>
      <c r="AR13" s="368">
        <v>1616</v>
      </c>
      <c r="AS13" s="368">
        <v>6165.94</v>
      </c>
      <c r="AT13" s="368">
        <v>1049</v>
      </c>
      <c r="AU13" s="368">
        <v>3914.83</v>
      </c>
      <c r="AV13" s="368">
        <v>3655</v>
      </c>
      <c r="AW13" s="368">
        <v>13435.93</v>
      </c>
      <c r="AX13" s="148">
        <f t="shared" si="22"/>
        <v>6320</v>
      </c>
      <c r="AY13" s="148">
        <f t="shared" si="23"/>
        <v>23516.7</v>
      </c>
      <c r="AZ13" s="168">
        <f>7500</f>
        <v>7500</v>
      </c>
      <c r="BA13" s="168">
        <f>8400+10500+12600</f>
        <v>31500</v>
      </c>
      <c r="BB13" s="149">
        <f t="shared" si="24"/>
        <v>1180</v>
      </c>
      <c r="BC13" s="149">
        <f t="shared" si="25"/>
        <v>7983.2999999999993</v>
      </c>
      <c r="BD13" s="148">
        <v>5085</v>
      </c>
      <c r="BE13" s="210">
        <f t="shared" si="26"/>
        <v>-1235</v>
      </c>
      <c r="BF13" s="148">
        <f t="shared" si="11"/>
        <v>24689</v>
      </c>
      <c r="BG13" s="148">
        <f t="shared" si="12"/>
        <v>93430.45</v>
      </c>
      <c r="BH13" s="209">
        <v>22873</v>
      </c>
      <c r="BI13" s="150">
        <f t="shared" si="13"/>
        <v>25500</v>
      </c>
      <c r="BJ13" s="150">
        <f t="shared" si="14"/>
        <v>107100</v>
      </c>
      <c r="BK13" s="153">
        <f t="shared" si="30"/>
        <v>811</v>
      </c>
      <c r="BL13" s="153">
        <f t="shared" si="31"/>
        <v>13669.550000000003</v>
      </c>
      <c r="BM13" s="210">
        <f t="shared" si="27"/>
        <v>-1816</v>
      </c>
      <c r="BN13" s="368">
        <v>3042</v>
      </c>
      <c r="BO13" s="372">
        <v>11200.39</v>
      </c>
      <c r="BP13" s="216">
        <v>3736</v>
      </c>
      <c r="BQ13" s="216">
        <v>13382.69</v>
      </c>
      <c r="BR13" s="216">
        <v>4437</v>
      </c>
      <c r="BS13" s="216">
        <v>15670.85</v>
      </c>
      <c r="BT13" s="216">
        <f t="shared" si="15"/>
        <v>11215</v>
      </c>
      <c r="BU13" s="216">
        <f t="shared" si="16"/>
        <v>40253.93</v>
      </c>
      <c r="BV13" s="216">
        <v>12500</v>
      </c>
      <c r="BW13" s="216">
        <v>52500</v>
      </c>
      <c r="BX13" s="216">
        <f t="shared" si="17"/>
        <v>1285</v>
      </c>
      <c r="BY13" s="216">
        <f t="shared" si="18"/>
        <v>12246.07</v>
      </c>
      <c r="BZ13" s="216">
        <v>11511</v>
      </c>
      <c r="CA13" s="374">
        <f>B13+D13+F13+R13+T13+V13+AR13+AT13+AV13+BN13+BP13+BR13</f>
        <v>35904</v>
      </c>
      <c r="CB13" s="374">
        <f>C13+E13+G13+S13+U13+W13+AS13+AU13+AW13+BO13+BQ13+BS13</f>
        <v>133684.38</v>
      </c>
      <c r="CC13" s="216">
        <v>38000</v>
      </c>
      <c r="CD13" s="216">
        <v>159600</v>
      </c>
      <c r="CE13" s="216">
        <f t="shared" si="20"/>
        <v>2096</v>
      </c>
      <c r="CF13" s="216">
        <f t="shared" si="21"/>
        <v>25915.619999999995</v>
      </c>
      <c r="CG13" s="230">
        <v>34384</v>
      </c>
      <c r="CH13" s="228">
        <v>45195</v>
      </c>
    </row>
    <row r="14" spans="1:86" ht="16.5" thickBot="1" x14ac:dyDescent="0.3">
      <c r="A14" s="29" t="s">
        <v>17</v>
      </c>
      <c r="B14" s="360">
        <v>1962</v>
      </c>
      <c r="C14" s="360">
        <v>8713.66</v>
      </c>
      <c r="D14" s="360">
        <v>2253</v>
      </c>
      <c r="E14" s="360">
        <v>9903.35</v>
      </c>
      <c r="F14" s="360">
        <v>1448</v>
      </c>
      <c r="G14" s="360">
        <v>6437.1</v>
      </c>
      <c r="H14" s="364">
        <f t="shared" si="0"/>
        <v>5663</v>
      </c>
      <c r="I14" s="364">
        <f t="shared" si="0"/>
        <v>25054.11</v>
      </c>
      <c r="J14" s="188">
        <v>5000</v>
      </c>
      <c r="K14" s="188">
        <v>24600</v>
      </c>
      <c r="L14" s="127">
        <f t="shared" si="1"/>
        <v>-663</v>
      </c>
      <c r="M14" s="127">
        <f t="shared" si="1"/>
        <v>-454.11000000000058</v>
      </c>
      <c r="N14" s="126">
        <v>4779</v>
      </c>
      <c r="O14" s="126">
        <v>18973.060000000001</v>
      </c>
      <c r="P14" s="9">
        <f t="shared" si="2"/>
        <v>-884</v>
      </c>
      <c r="Q14" s="9">
        <f t="shared" si="3"/>
        <v>-6081.0499999999993</v>
      </c>
      <c r="R14" s="368">
        <v>1879</v>
      </c>
      <c r="S14" s="368">
        <v>8512</v>
      </c>
      <c r="T14" s="368">
        <v>417</v>
      </c>
      <c r="U14" s="368">
        <v>1890.55</v>
      </c>
      <c r="V14" s="368">
        <v>1045</v>
      </c>
      <c r="W14" s="368">
        <v>4806.1899999999996</v>
      </c>
      <c r="X14" s="151">
        <f t="shared" si="4"/>
        <v>3341</v>
      </c>
      <c r="Y14" s="151">
        <f t="shared" si="4"/>
        <v>15208.739999999998</v>
      </c>
      <c r="Z14" s="148">
        <v>3500</v>
      </c>
      <c r="AA14" s="148">
        <v>17100</v>
      </c>
      <c r="AB14" s="153">
        <f t="shared" si="5"/>
        <v>159</v>
      </c>
      <c r="AC14" s="153">
        <f t="shared" si="5"/>
        <v>1891.260000000002</v>
      </c>
      <c r="AD14" s="154">
        <v>3444</v>
      </c>
      <c r="AE14" s="154">
        <v>13806.38</v>
      </c>
      <c r="AF14" s="151">
        <f t="shared" si="6"/>
        <v>103</v>
      </c>
      <c r="AG14" s="151">
        <f t="shared" si="6"/>
        <v>-1402.3599999999988</v>
      </c>
      <c r="AH14" s="155">
        <f t="shared" si="28"/>
        <v>9004</v>
      </c>
      <c r="AI14" s="155">
        <f t="shared" si="29"/>
        <v>40262.85</v>
      </c>
      <c r="AJ14" s="156">
        <v>8223</v>
      </c>
      <c r="AK14" s="156">
        <v>32779</v>
      </c>
      <c r="AL14" s="148">
        <f t="shared" si="7"/>
        <v>8500</v>
      </c>
      <c r="AM14" s="148">
        <f t="shared" si="8"/>
        <v>41700</v>
      </c>
      <c r="AN14" s="149">
        <f t="shared" si="9"/>
        <v>-504</v>
      </c>
      <c r="AO14" s="149">
        <f t="shared" si="9"/>
        <v>1437.1500000000015</v>
      </c>
      <c r="AP14" s="150">
        <f t="shared" si="10"/>
        <v>-781</v>
      </c>
      <c r="AQ14" s="150">
        <f t="shared" si="10"/>
        <v>-7483.8499999999985</v>
      </c>
      <c r="AR14" s="368">
        <v>133</v>
      </c>
      <c r="AS14" s="368">
        <v>595.89</v>
      </c>
      <c r="AT14" s="368">
        <v>91</v>
      </c>
      <c r="AU14" s="368">
        <v>400.1</v>
      </c>
      <c r="AV14" s="368">
        <v>1101</v>
      </c>
      <c r="AW14" s="368">
        <v>4779.28</v>
      </c>
      <c r="AX14" s="148">
        <f t="shared" si="22"/>
        <v>1325</v>
      </c>
      <c r="AY14" s="148">
        <f t="shared" si="23"/>
        <v>5775.2699999999995</v>
      </c>
      <c r="AZ14" s="168">
        <f>2000</f>
        <v>2000</v>
      </c>
      <c r="BA14" s="168">
        <f>3400+1500+4900</f>
        <v>9800</v>
      </c>
      <c r="BB14" s="149">
        <f t="shared" si="24"/>
        <v>675</v>
      </c>
      <c r="BC14" s="149">
        <f t="shared" si="25"/>
        <v>4024.7300000000005</v>
      </c>
      <c r="BD14" s="148">
        <v>1626</v>
      </c>
      <c r="BE14" s="210">
        <f t="shared" si="26"/>
        <v>301</v>
      </c>
      <c r="BF14" s="148">
        <f t="shared" si="11"/>
        <v>10329</v>
      </c>
      <c r="BG14" s="148">
        <f t="shared" si="12"/>
        <v>46038.119999999995</v>
      </c>
      <c r="BH14" s="209">
        <v>9849</v>
      </c>
      <c r="BI14" s="150">
        <f t="shared" si="13"/>
        <v>10500</v>
      </c>
      <c r="BJ14" s="150">
        <f t="shared" si="14"/>
        <v>51500</v>
      </c>
      <c r="BK14" s="153">
        <f t="shared" si="30"/>
        <v>171</v>
      </c>
      <c r="BL14" s="153">
        <f t="shared" si="31"/>
        <v>5461.8800000000047</v>
      </c>
      <c r="BM14" s="210">
        <f t="shared" si="27"/>
        <v>-480</v>
      </c>
      <c r="BN14" s="368">
        <v>1362</v>
      </c>
      <c r="BO14" s="372">
        <v>5920.25</v>
      </c>
      <c r="BP14" s="216">
        <v>1483</v>
      </c>
      <c r="BQ14" s="216">
        <v>6298.16</v>
      </c>
      <c r="BR14" s="216">
        <v>1306</v>
      </c>
      <c r="BS14" s="216">
        <v>5480.85</v>
      </c>
      <c r="BT14" s="216">
        <f t="shared" si="15"/>
        <v>4151</v>
      </c>
      <c r="BU14" s="216">
        <f t="shared" si="16"/>
        <v>17699.260000000002</v>
      </c>
      <c r="BV14" s="216">
        <v>4500</v>
      </c>
      <c r="BW14" s="216">
        <v>22100</v>
      </c>
      <c r="BX14" s="216">
        <f t="shared" si="17"/>
        <v>349</v>
      </c>
      <c r="BY14" s="216">
        <f t="shared" si="18"/>
        <v>4400.739999999998</v>
      </c>
      <c r="BZ14" s="216">
        <v>4700</v>
      </c>
      <c r="CA14" s="374">
        <f>B14+D14+F14+R14+T14+V14+AR14+AT14+AV14+BN14+BP14+BR14</f>
        <v>14480</v>
      </c>
      <c r="CB14" s="374">
        <f>C14+E14+G14+S14+U14+W14+AS14+AU14+AW14+BQ14+BS14+BO14</f>
        <v>63737.38</v>
      </c>
      <c r="CC14" s="216">
        <v>15000</v>
      </c>
      <c r="CD14" s="216">
        <v>73600</v>
      </c>
      <c r="CE14" s="216">
        <f t="shared" si="20"/>
        <v>520</v>
      </c>
      <c r="CF14" s="216">
        <f t="shared" si="21"/>
        <v>9862.6200000000026</v>
      </c>
      <c r="CG14" s="230">
        <v>14549</v>
      </c>
      <c r="CH14" s="228">
        <v>19460</v>
      </c>
    </row>
    <row r="15" spans="1:86" ht="16.5" thickBot="1" x14ac:dyDescent="0.3">
      <c r="A15" s="171" t="s">
        <v>18</v>
      </c>
      <c r="B15" s="360">
        <v>4686</v>
      </c>
      <c r="C15" s="360">
        <v>17576.78</v>
      </c>
      <c r="D15" s="360">
        <v>4550</v>
      </c>
      <c r="E15" s="360">
        <v>16859.25</v>
      </c>
      <c r="F15" s="360">
        <v>3648</v>
      </c>
      <c r="G15" s="360">
        <v>13791.98</v>
      </c>
      <c r="H15" s="364">
        <f t="shared" si="0"/>
        <v>12884</v>
      </c>
      <c r="I15" s="364">
        <f t="shared" si="0"/>
        <v>48228.009999999995</v>
      </c>
      <c r="J15" s="188">
        <v>12500</v>
      </c>
      <c r="K15" s="188">
        <v>52500</v>
      </c>
      <c r="L15" s="127">
        <f t="shared" si="1"/>
        <v>-384</v>
      </c>
      <c r="M15" s="127">
        <f t="shared" si="1"/>
        <v>4271.9900000000052</v>
      </c>
      <c r="N15" s="126">
        <v>11234</v>
      </c>
      <c r="O15" s="126">
        <v>38416.120000000003</v>
      </c>
      <c r="P15" s="9">
        <f t="shared" si="2"/>
        <v>-1650</v>
      </c>
      <c r="Q15" s="9">
        <f t="shared" si="3"/>
        <v>-9811.8899999999921</v>
      </c>
      <c r="R15" s="368">
        <v>3555</v>
      </c>
      <c r="S15" s="368">
        <v>13740.98</v>
      </c>
      <c r="T15" s="368">
        <v>3064</v>
      </c>
      <c r="U15" s="368">
        <v>11854.28</v>
      </c>
      <c r="V15" s="368">
        <v>3128</v>
      </c>
      <c r="W15" s="368">
        <v>12306.85</v>
      </c>
      <c r="X15" s="151">
        <f t="shared" si="4"/>
        <v>9747</v>
      </c>
      <c r="Y15" s="151">
        <f t="shared" si="4"/>
        <v>37902.11</v>
      </c>
      <c r="Z15" s="148">
        <v>9500</v>
      </c>
      <c r="AA15" s="148">
        <v>39900</v>
      </c>
      <c r="AB15" s="153">
        <f t="shared" si="5"/>
        <v>-247</v>
      </c>
      <c r="AC15" s="153">
        <f t="shared" si="5"/>
        <v>1997.8899999999994</v>
      </c>
      <c r="AD15" s="154">
        <v>8996</v>
      </c>
      <c r="AE15" s="154">
        <v>31264.51</v>
      </c>
      <c r="AF15" s="151">
        <f t="shared" si="6"/>
        <v>-751</v>
      </c>
      <c r="AG15" s="151">
        <f t="shared" si="6"/>
        <v>-6637.6000000000022</v>
      </c>
      <c r="AH15" s="155">
        <f t="shared" si="28"/>
        <v>22631</v>
      </c>
      <c r="AI15" s="155">
        <f t="shared" si="29"/>
        <v>86130.12</v>
      </c>
      <c r="AJ15" s="156">
        <v>20230</v>
      </c>
      <c r="AK15" s="156">
        <v>69681</v>
      </c>
      <c r="AL15" s="148">
        <f t="shared" si="7"/>
        <v>22000</v>
      </c>
      <c r="AM15" s="148">
        <f t="shared" si="8"/>
        <v>92400</v>
      </c>
      <c r="AN15" s="149">
        <f t="shared" si="9"/>
        <v>-631</v>
      </c>
      <c r="AO15" s="149">
        <f t="shared" si="9"/>
        <v>6269.8800000000047</v>
      </c>
      <c r="AP15" s="150">
        <f t="shared" si="10"/>
        <v>-2401</v>
      </c>
      <c r="AQ15" s="150">
        <f t="shared" si="10"/>
        <v>-16449.119999999995</v>
      </c>
      <c r="AR15" s="368">
        <v>2919</v>
      </c>
      <c r="AS15" s="368">
        <v>11137.6</v>
      </c>
      <c r="AT15" s="368">
        <v>2074</v>
      </c>
      <c r="AU15" s="368">
        <v>7740.09</v>
      </c>
      <c r="AV15" s="368">
        <v>2988</v>
      </c>
      <c r="AW15" s="368">
        <v>10984.02</v>
      </c>
      <c r="AX15" s="148">
        <f t="shared" si="22"/>
        <v>7981</v>
      </c>
      <c r="AY15" s="148">
        <f t="shared" si="23"/>
        <v>29861.710000000003</v>
      </c>
      <c r="AZ15" s="168">
        <f>3000+2500+3000</f>
        <v>8500</v>
      </c>
      <c r="BA15" s="168">
        <f>12600+10500+12600</f>
        <v>35700</v>
      </c>
      <c r="BB15" s="149">
        <f t="shared" si="24"/>
        <v>519</v>
      </c>
      <c r="BC15" s="149">
        <f t="shared" si="25"/>
        <v>5838.2899999999972</v>
      </c>
      <c r="BD15" s="148">
        <v>8047</v>
      </c>
      <c r="BE15" s="210">
        <f t="shared" si="26"/>
        <v>66</v>
      </c>
      <c r="BF15" s="148">
        <f t="shared" si="11"/>
        <v>30612</v>
      </c>
      <c r="BG15" s="148">
        <f t="shared" si="12"/>
        <v>115991.83</v>
      </c>
      <c r="BH15" s="209">
        <v>28277</v>
      </c>
      <c r="BI15" s="150">
        <f t="shared" si="13"/>
        <v>30500</v>
      </c>
      <c r="BJ15" s="150">
        <f t="shared" si="14"/>
        <v>128100</v>
      </c>
      <c r="BK15" s="153">
        <f t="shared" si="30"/>
        <v>-112</v>
      </c>
      <c r="BL15" s="153">
        <f t="shared" si="31"/>
        <v>12108.169999999998</v>
      </c>
      <c r="BM15" s="210">
        <f t="shared" si="27"/>
        <v>-2335</v>
      </c>
      <c r="BN15" s="368">
        <v>4183</v>
      </c>
      <c r="BO15" s="372">
        <v>15401.47</v>
      </c>
      <c r="BP15" s="216">
        <v>4014</v>
      </c>
      <c r="BQ15" s="216">
        <v>14378.5</v>
      </c>
      <c r="BR15" s="216">
        <v>4692</v>
      </c>
      <c r="BS15" s="216">
        <v>16571.48</v>
      </c>
      <c r="BT15" s="216">
        <f t="shared" si="15"/>
        <v>12889</v>
      </c>
      <c r="BU15" s="216">
        <f t="shared" si="16"/>
        <v>46351.45</v>
      </c>
      <c r="BV15" s="216">
        <v>14500</v>
      </c>
      <c r="BW15" s="216">
        <v>61900</v>
      </c>
      <c r="BX15" s="216">
        <f t="shared" si="17"/>
        <v>1611</v>
      </c>
      <c r="BY15" s="216">
        <f t="shared" si="18"/>
        <v>15548.550000000003</v>
      </c>
      <c r="BZ15" s="216">
        <v>15118</v>
      </c>
      <c r="CA15" s="374">
        <f>B15+D15+F15+R15+T15+V15+AR15+AT15+AV15+BP15+BR15+BN15</f>
        <v>43501</v>
      </c>
      <c r="CB15" s="374">
        <f>C15+E15+G15+S15+U15+W15+AS15+AU15+AW15+BQ15+BO15+BS15</f>
        <v>162343.28</v>
      </c>
      <c r="CC15" s="216">
        <v>45000</v>
      </c>
      <c r="CD15" s="216">
        <v>190000</v>
      </c>
      <c r="CE15" s="216">
        <f t="shared" si="20"/>
        <v>1499</v>
      </c>
      <c r="CF15" s="216">
        <f t="shared" si="21"/>
        <v>27656.720000000001</v>
      </c>
      <c r="CG15" s="230">
        <v>43395</v>
      </c>
      <c r="CH15" s="228">
        <v>55206</v>
      </c>
    </row>
    <row r="16" spans="1:86" ht="16.5" thickBot="1" x14ac:dyDescent="0.3">
      <c r="A16" s="29" t="s">
        <v>19</v>
      </c>
      <c r="B16" s="360">
        <v>635</v>
      </c>
      <c r="C16" s="360">
        <v>2820.16</v>
      </c>
      <c r="D16" s="360">
        <v>628</v>
      </c>
      <c r="E16" s="360">
        <v>2760.46</v>
      </c>
      <c r="F16" s="360">
        <v>574</v>
      </c>
      <c r="G16" s="360">
        <v>2551.73</v>
      </c>
      <c r="H16" s="364">
        <f t="shared" si="0"/>
        <v>1837</v>
      </c>
      <c r="I16" s="364">
        <f t="shared" si="0"/>
        <v>8132.35</v>
      </c>
      <c r="J16" s="188">
        <v>2200</v>
      </c>
      <c r="K16" s="188">
        <v>10800</v>
      </c>
      <c r="L16" s="127">
        <f t="shared" si="1"/>
        <v>363</v>
      </c>
      <c r="M16" s="127">
        <f t="shared" si="1"/>
        <v>2667.6499999999996</v>
      </c>
      <c r="N16" s="126">
        <v>1951</v>
      </c>
      <c r="O16" s="126">
        <v>7731.1299999999992</v>
      </c>
      <c r="P16" s="9">
        <f t="shared" si="2"/>
        <v>114</v>
      </c>
      <c r="Q16" s="9">
        <f t="shared" si="3"/>
        <v>-401.22000000000116</v>
      </c>
      <c r="R16" s="368">
        <v>624</v>
      </c>
      <c r="S16" s="368">
        <v>2826.76</v>
      </c>
      <c r="T16" s="368">
        <v>518</v>
      </c>
      <c r="U16" s="368">
        <v>2348.46</v>
      </c>
      <c r="V16" s="368">
        <v>424</v>
      </c>
      <c r="W16" s="368">
        <v>1950.07</v>
      </c>
      <c r="X16" s="151">
        <f t="shared" si="4"/>
        <v>1566</v>
      </c>
      <c r="Y16" s="151">
        <f t="shared" si="4"/>
        <v>7125.29</v>
      </c>
      <c r="Z16" s="148">
        <v>1400</v>
      </c>
      <c r="AA16" s="148">
        <v>6900</v>
      </c>
      <c r="AB16" s="153">
        <f t="shared" si="5"/>
        <v>-166</v>
      </c>
      <c r="AC16" s="153">
        <f t="shared" si="5"/>
        <v>-225.28999999999996</v>
      </c>
      <c r="AD16" s="154">
        <v>1626</v>
      </c>
      <c r="AE16" s="154">
        <v>6521.57</v>
      </c>
      <c r="AF16" s="151">
        <f t="shared" si="6"/>
        <v>60</v>
      </c>
      <c r="AG16" s="151">
        <f t="shared" si="6"/>
        <v>-603.72000000000025</v>
      </c>
      <c r="AH16" s="155">
        <f t="shared" si="28"/>
        <v>3403</v>
      </c>
      <c r="AI16" s="155">
        <f t="shared" si="29"/>
        <v>15257.64</v>
      </c>
      <c r="AJ16" s="156">
        <v>3577</v>
      </c>
      <c r="AK16" s="156">
        <v>14253</v>
      </c>
      <c r="AL16" s="148">
        <f t="shared" si="7"/>
        <v>3600</v>
      </c>
      <c r="AM16" s="148">
        <f t="shared" si="8"/>
        <v>17700</v>
      </c>
      <c r="AN16" s="149">
        <f t="shared" si="9"/>
        <v>197</v>
      </c>
      <c r="AO16" s="149">
        <f t="shared" si="9"/>
        <v>2442.3600000000006</v>
      </c>
      <c r="AP16" s="150">
        <f t="shared" si="10"/>
        <v>174</v>
      </c>
      <c r="AQ16" s="150">
        <f t="shared" si="10"/>
        <v>-1004.6399999999994</v>
      </c>
      <c r="AR16" s="368">
        <v>53</v>
      </c>
      <c r="AS16" s="368">
        <v>237.46</v>
      </c>
      <c r="AT16" s="368">
        <v>297</v>
      </c>
      <c r="AU16" s="368">
        <v>1305.8499999999999</v>
      </c>
      <c r="AV16" s="368">
        <v>570</v>
      </c>
      <c r="AW16" s="368">
        <v>2474.2800000000002</v>
      </c>
      <c r="AX16" s="148">
        <f t="shared" si="22"/>
        <v>920</v>
      </c>
      <c r="AY16" s="148">
        <f t="shared" si="23"/>
        <v>4017.59</v>
      </c>
      <c r="AZ16" s="168">
        <f>50+50+500</f>
        <v>600</v>
      </c>
      <c r="BA16" s="168">
        <f>300+200+2400</f>
        <v>2900</v>
      </c>
      <c r="BB16" s="149">
        <f t="shared" si="24"/>
        <v>-320</v>
      </c>
      <c r="BC16" s="149">
        <f t="shared" si="25"/>
        <v>-1117.5900000000001</v>
      </c>
      <c r="BD16" s="148">
        <v>701</v>
      </c>
      <c r="BE16" s="210">
        <f t="shared" si="26"/>
        <v>-219</v>
      </c>
      <c r="BF16" s="148">
        <f t="shared" si="11"/>
        <v>4323</v>
      </c>
      <c r="BG16" s="148">
        <f t="shared" si="12"/>
        <v>19275.23</v>
      </c>
      <c r="BH16" s="209">
        <v>4278</v>
      </c>
      <c r="BI16" s="150">
        <f t="shared" si="13"/>
        <v>4200</v>
      </c>
      <c r="BJ16" s="150">
        <f t="shared" si="14"/>
        <v>20600</v>
      </c>
      <c r="BK16" s="153">
        <f t="shared" si="30"/>
        <v>-123</v>
      </c>
      <c r="BL16" s="153">
        <f t="shared" si="31"/>
        <v>1324.7700000000004</v>
      </c>
      <c r="BM16" s="210">
        <f t="shared" si="27"/>
        <v>-45</v>
      </c>
      <c r="BN16" s="368">
        <v>607</v>
      </c>
      <c r="BO16" s="372">
        <v>2638.47</v>
      </c>
      <c r="BP16" s="216">
        <v>645</v>
      </c>
      <c r="BQ16" s="216">
        <v>2739.25</v>
      </c>
      <c r="BR16" s="216">
        <v>625</v>
      </c>
      <c r="BS16" s="216">
        <v>2622.92</v>
      </c>
      <c r="BT16" s="216">
        <f t="shared" si="15"/>
        <v>1877</v>
      </c>
      <c r="BU16" s="216">
        <f t="shared" si="16"/>
        <v>8000.6399999999994</v>
      </c>
      <c r="BV16" s="216">
        <v>2800</v>
      </c>
      <c r="BW16" s="216">
        <v>14300</v>
      </c>
      <c r="BX16" s="216">
        <f t="shared" si="17"/>
        <v>923</v>
      </c>
      <c r="BY16" s="216">
        <f t="shared" si="18"/>
        <v>6299.3600000000006</v>
      </c>
      <c r="BZ16" s="216">
        <v>1779</v>
      </c>
      <c r="CA16" s="374">
        <f t="shared" ref="CA16:CB18" si="32">B16+D16+F16+R16+T16+V16+AR16+AT16+AV16+BN16+BP16+BR16</f>
        <v>6200</v>
      </c>
      <c r="CB16" s="374">
        <f t="shared" si="32"/>
        <v>27275.869999999995</v>
      </c>
      <c r="CC16" s="216">
        <v>7000</v>
      </c>
      <c r="CD16" s="216">
        <v>34900</v>
      </c>
      <c r="CE16" s="216">
        <f t="shared" si="20"/>
        <v>800</v>
      </c>
      <c r="CF16" s="216">
        <f t="shared" si="21"/>
        <v>7624.1300000000047</v>
      </c>
      <c r="CG16" s="230">
        <v>6057</v>
      </c>
      <c r="CH16" s="228">
        <v>57481</v>
      </c>
    </row>
    <row r="17" spans="1:90" ht="16.5" thickBot="1" x14ac:dyDescent="0.3">
      <c r="A17" s="29" t="s">
        <v>20</v>
      </c>
      <c r="B17" s="360">
        <v>36426</v>
      </c>
      <c r="C17" s="360">
        <v>161772.17000000001</v>
      </c>
      <c r="D17" s="360">
        <v>15853</v>
      </c>
      <c r="E17" s="360">
        <v>69681.850000000006</v>
      </c>
      <c r="F17" s="360">
        <v>4334</v>
      </c>
      <c r="G17" s="360">
        <v>19264.830000000002</v>
      </c>
      <c r="H17" s="364">
        <f t="shared" si="0"/>
        <v>56613</v>
      </c>
      <c r="I17" s="364">
        <f t="shared" si="0"/>
        <v>250718.85000000003</v>
      </c>
      <c r="J17" s="188">
        <f>9000+8000+7000</f>
        <v>24000</v>
      </c>
      <c r="K17" s="188">
        <f>41400+36800+32200</f>
        <v>110400</v>
      </c>
      <c r="L17" s="127">
        <f t="shared" si="1"/>
        <v>-32613</v>
      </c>
      <c r="M17" s="127">
        <f t="shared" si="1"/>
        <v>-140318.85000000003</v>
      </c>
      <c r="N17" s="126">
        <v>1744</v>
      </c>
      <c r="O17" s="126">
        <v>5930.29</v>
      </c>
      <c r="P17" s="9">
        <f t="shared" si="2"/>
        <v>-54869</v>
      </c>
      <c r="Q17" s="9">
        <f t="shared" si="3"/>
        <v>-244788.56000000003</v>
      </c>
      <c r="R17" s="368"/>
      <c r="S17" s="368"/>
      <c r="T17" s="368"/>
      <c r="U17" s="368"/>
      <c r="V17" s="368">
        <v>125</v>
      </c>
      <c r="W17" s="368">
        <v>491.8</v>
      </c>
      <c r="X17" s="151">
        <f t="shared" si="4"/>
        <v>125</v>
      </c>
      <c r="Y17" s="151">
        <f t="shared" si="4"/>
        <v>491.8</v>
      </c>
      <c r="Z17" s="148">
        <f>4000+100+100</f>
        <v>4200</v>
      </c>
      <c r="AA17" s="148">
        <f>18400+400+400</f>
        <v>19200</v>
      </c>
      <c r="AB17" s="153">
        <f t="shared" si="5"/>
        <v>4075</v>
      </c>
      <c r="AC17" s="153">
        <f t="shared" si="5"/>
        <v>18708.2</v>
      </c>
      <c r="AD17" s="154">
        <v>969</v>
      </c>
      <c r="AE17" s="154">
        <v>3329.54</v>
      </c>
      <c r="AF17" s="151">
        <f t="shared" si="6"/>
        <v>844</v>
      </c>
      <c r="AG17" s="151">
        <f t="shared" si="6"/>
        <v>2837.74</v>
      </c>
      <c r="AH17" s="155">
        <f t="shared" si="28"/>
        <v>56738</v>
      </c>
      <c r="AI17" s="155">
        <f t="shared" si="29"/>
        <v>251210.65000000002</v>
      </c>
      <c r="AJ17" s="156">
        <v>2713</v>
      </c>
      <c r="AK17" s="156">
        <v>9260</v>
      </c>
      <c r="AL17" s="148">
        <f t="shared" si="7"/>
        <v>28200</v>
      </c>
      <c r="AM17" s="148">
        <f t="shared" si="8"/>
        <v>129600</v>
      </c>
      <c r="AN17" s="149">
        <f t="shared" si="9"/>
        <v>-28538</v>
      </c>
      <c r="AO17" s="149">
        <f t="shared" si="9"/>
        <v>-121610.65000000002</v>
      </c>
      <c r="AP17" s="150">
        <f t="shared" si="10"/>
        <v>-54025</v>
      </c>
      <c r="AQ17" s="150">
        <f t="shared" si="10"/>
        <v>-241950.65000000002</v>
      </c>
      <c r="AR17" s="368">
        <v>89</v>
      </c>
      <c r="AS17" s="368">
        <v>339.58</v>
      </c>
      <c r="AT17" s="368">
        <v>90</v>
      </c>
      <c r="AU17" s="368">
        <v>395.71</v>
      </c>
      <c r="AV17" s="368">
        <v>782</v>
      </c>
      <c r="AW17" s="368">
        <v>3394.55</v>
      </c>
      <c r="AX17" s="148">
        <f t="shared" si="22"/>
        <v>961</v>
      </c>
      <c r="AY17" s="148">
        <f t="shared" si="23"/>
        <v>4129.84</v>
      </c>
      <c r="AZ17" s="168">
        <f>400</f>
        <v>400</v>
      </c>
      <c r="BA17" s="168">
        <f>400+500+900</f>
        <v>1800</v>
      </c>
      <c r="BB17" s="149">
        <f t="shared" si="24"/>
        <v>-561</v>
      </c>
      <c r="BC17" s="149">
        <f t="shared" si="25"/>
        <v>-2329.84</v>
      </c>
      <c r="BD17" s="148">
        <v>67</v>
      </c>
      <c r="BE17" s="210">
        <f t="shared" si="26"/>
        <v>-894</v>
      </c>
      <c r="BF17" s="148">
        <f t="shared" si="11"/>
        <v>57699</v>
      </c>
      <c r="BG17" s="148">
        <f t="shared" si="12"/>
        <v>255340.49000000002</v>
      </c>
      <c r="BH17" s="209">
        <v>2780</v>
      </c>
      <c r="BI17" s="150">
        <f t="shared" si="13"/>
        <v>28600</v>
      </c>
      <c r="BJ17" s="150">
        <f t="shared" si="14"/>
        <v>131400</v>
      </c>
      <c r="BK17" s="153">
        <f t="shared" si="30"/>
        <v>-29099</v>
      </c>
      <c r="BL17" s="153">
        <f t="shared" si="31"/>
        <v>-123940.49000000002</v>
      </c>
      <c r="BM17" s="210">
        <f t="shared" si="27"/>
        <v>-54919</v>
      </c>
      <c r="BN17" s="368">
        <v>4902</v>
      </c>
      <c r="BO17" s="372">
        <v>21307.67</v>
      </c>
      <c r="BP17" s="216">
        <v>8150</v>
      </c>
      <c r="BQ17" s="216">
        <v>34612.300000000003</v>
      </c>
      <c r="BR17" s="216">
        <v>6015</v>
      </c>
      <c r="BS17" s="216">
        <v>25242.97</v>
      </c>
      <c r="BT17" s="216">
        <f t="shared" si="15"/>
        <v>19067</v>
      </c>
      <c r="BU17" s="216">
        <f t="shared" si="16"/>
        <v>81162.94</v>
      </c>
      <c r="BV17" s="216">
        <v>20000</v>
      </c>
      <c r="BW17" s="216">
        <v>92000</v>
      </c>
      <c r="BX17" s="216">
        <f t="shared" si="17"/>
        <v>933</v>
      </c>
      <c r="BY17" s="216">
        <f t="shared" si="18"/>
        <v>10837.059999999998</v>
      </c>
      <c r="BZ17" s="216">
        <v>3</v>
      </c>
      <c r="CA17" s="374">
        <f t="shared" si="32"/>
        <v>76766</v>
      </c>
      <c r="CB17" s="374">
        <f t="shared" si="32"/>
        <v>336503.42999999993</v>
      </c>
      <c r="CC17" s="216">
        <v>48600</v>
      </c>
      <c r="CD17" s="216">
        <v>223400</v>
      </c>
      <c r="CE17" s="216">
        <f t="shared" si="20"/>
        <v>-28166</v>
      </c>
      <c r="CF17" s="216">
        <f t="shared" si="21"/>
        <v>-113103.42999999993</v>
      </c>
      <c r="CG17" s="230">
        <v>2783</v>
      </c>
      <c r="CH17" s="228">
        <v>6382</v>
      </c>
    </row>
    <row r="18" spans="1:90" ht="16.5" thickBot="1" x14ac:dyDescent="0.3">
      <c r="A18" s="29" t="s">
        <v>21</v>
      </c>
      <c r="B18" s="360">
        <v>4088</v>
      </c>
      <c r="C18" s="360">
        <v>15146.19</v>
      </c>
      <c r="D18" s="360">
        <v>3870</v>
      </c>
      <c r="E18" s="360">
        <v>14339.63</v>
      </c>
      <c r="F18" s="360">
        <v>2549</v>
      </c>
      <c r="G18" s="360">
        <v>9637</v>
      </c>
      <c r="H18" s="364">
        <f t="shared" si="0"/>
        <v>10507</v>
      </c>
      <c r="I18" s="364">
        <f t="shared" si="0"/>
        <v>39122.82</v>
      </c>
      <c r="J18" s="188">
        <v>10500</v>
      </c>
      <c r="K18" s="188">
        <v>44100</v>
      </c>
      <c r="L18" s="127">
        <f t="shared" si="1"/>
        <v>-7</v>
      </c>
      <c r="M18" s="127">
        <f t="shared" si="1"/>
        <v>4977.18</v>
      </c>
      <c r="N18" s="126">
        <v>9687</v>
      </c>
      <c r="O18" s="126">
        <v>32865.979999999996</v>
      </c>
      <c r="P18" s="9">
        <f t="shared" si="2"/>
        <v>-820</v>
      </c>
      <c r="Q18" s="9">
        <f t="shared" si="3"/>
        <v>-6256.8400000000038</v>
      </c>
      <c r="R18" s="368">
        <v>2071</v>
      </c>
      <c r="S18" s="368">
        <v>8004.94</v>
      </c>
      <c r="T18" s="368">
        <v>975</v>
      </c>
      <c r="U18" s="368">
        <v>3772.17</v>
      </c>
      <c r="V18" s="368">
        <v>948</v>
      </c>
      <c r="W18" s="368">
        <v>3729.83</v>
      </c>
      <c r="X18" s="151">
        <f t="shared" si="4"/>
        <v>3994</v>
      </c>
      <c r="Y18" s="151">
        <f t="shared" si="4"/>
        <v>15506.94</v>
      </c>
      <c r="Z18" s="148">
        <v>4000</v>
      </c>
      <c r="AA18" s="148">
        <v>16800</v>
      </c>
      <c r="AB18" s="153">
        <f t="shared" si="5"/>
        <v>6</v>
      </c>
      <c r="AC18" s="153">
        <f t="shared" si="5"/>
        <v>1293.0599999999995</v>
      </c>
      <c r="AD18" s="154">
        <v>3949</v>
      </c>
      <c r="AE18" s="154">
        <v>13557.8</v>
      </c>
      <c r="AF18" s="151">
        <f t="shared" si="6"/>
        <v>-45</v>
      </c>
      <c r="AG18" s="151">
        <f t="shared" si="6"/>
        <v>-1949.1400000000012</v>
      </c>
      <c r="AH18" s="155">
        <f t="shared" si="28"/>
        <v>14501</v>
      </c>
      <c r="AI18" s="155">
        <f t="shared" si="29"/>
        <v>54629.760000000002</v>
      </c>
      <c r="AJ18" s="156">
        <v>13636</v>
      </c>
      <c r="AK18" s="156">
        <v>46424</v>
      </c>
      <c r="AL18" s="148">
        <f t="shared" si="7"/>
        <v>14500</v>
      </c>
      <c r="AM18" s="148">
        <f t="shared" si="8"/>
        <v>60900</v>
      </c>
      <c r="AN18" s="149">
        <f t="shared" si="9"/>
        <v>-1</v>
      </c>
      <c r="AO18" s="149">
        <f t="shared" si="9"/>
        <v>6270.239999999998</v>
      </c>
      <c r="AP18" s="150">
        <f t="shared" si="10"/>
        <v>-865</v>
      </c>
      <c r="AQ18" s="150">
        <f t="shared" si="10"/>
        <v>-8205.760000000002</v>
      </c>
      <c r="AR18" s="368">
        <v>826</v>
      </c>
      <c r="AS18" s="368">
        <v>3151.65</v>
      </c>
      <c r="AT18" s="368">
        <v>833</v>
      </c>
      <c r="AU18" s="368">
        <v>3295.33</v>
      </c>
      <c r="AV18" s="368">
        <v>1543</v>
      </c>
      <c r="AW18" s="368">
        <v>5672.13</v>
      </c>
      <c r="AX18" s="148">
        <f t="shared" si="22"/>
        <v>3202</v>
      </c>
      <c r="AY18" s="148">
        <f t="shared" si="23"/>
        <v>12119.11</v>
      </c>
      <c r="AZ18" s="168">
        <f>1000+3000</f>
        <v>4000</v>
      </c>
      <c r="BA18" s="168">
        <f>4200+4200+8400</f>
        <v>16800</v>
      </c>
      <c r="BB18" s="149">
        <f t="shared" si="24"/>
        <v>798</v>
      </c>
      <c r="BC18" s="149">
        <f t="shared" si="25"/>
        <v>4680.8899999999994</v>
      </c>
      <c r="BD18" s="148">
        <v>3228</v>
      </c>
      <c r="BE18" s="210">
        <f t="shared" si="26"/>
        <v>26</v>
      </c>
      <c r="BF18" s="148">
        <f t="shared" si="11"/>
        <v>17703</v>
      </c>
      <c r="BG18" s="148">
        <f t="shared" si="12"/>
        <v>66748.87</v>
      </c>
      <c r="BH18" s="209">
        <v>16864</v>
      </c>
      <c r="BI18" s="150">
        <f t="shared" si="13"/>
        <v>18500</v>
      </c>
      <c r="BJ18" s="150">
        <f t="shared" si="14"/>
        <v>77700</v>
      </c>
      <c r="BK18" s="153">
        <f t="shared" si="30"/>
        <v>797</v>
      </c>
      <c r="BL18" s="153">
        <f t="shared" si="31"/>
        <v>10951.130000000005</v>
      </c>
      <c r="BM18" s="210">
        <f t="shared" si="27"/>
        <v>-839</v>
      </c>
      <c r="BN18" s="368">
        <v>2837</v>
      </c>
      <c r="BO18" s="372">
        <v>10445.61</v>
      </c>
      <c r="BP18" s="216">
        <v>2926</v>
      </c>
      <c r="BQ18" s="216">
        <v>10481.200000000001</v>
      </c>
      <c r="BR18" s="216">
        <v>4301</v>
      </c>
      <c r="BS18" s="216">
        <v>15190.52</v>
      </c>
      <c r="BT18" s="216">
        <f t="shared" si="15"/>
        <v>10064</v>
      </c>
      <c r="BU18" s="216">
        <f t="shared" si="16"/>
        <v>36117.33</v>
      </c>
      <c r="BV18" s="216">
        <v>9500</v>
      </c>
      <c r="BW18" s="216">
        <v>39900</v>
      </c>
      <c r="BX18" s="216">
        <f t="shared" si="17"/>
        <v>-564</v>
      </c>
      <c r="BY18" s="216">
        <f t="shared" si="18"/>
        <v>3782.6699999999983</v>
      </c>
      <c r="BZ18" s="216">
        <v>9281</v>
      </c>
      <c r="CA18" s="374">
        <f t="shared" si="32"/>
        <v>27767</v>
      </c>
      <c r="CB18" s="374">
        <f t="shared" si="32"/>
        <v>102866.20000000001</v>
      </c>
      <c r="CC18" s="216">
        <v>28000</v>
      </c>
      <c r="CD18" s="216">
        <v>117600</v>
      </c>
      <c r="CE18" s="216">
        <f t="shared" si="20"/>
        <v>233</v>
      </c>
      <c r="CF18" s="216">
        <f t="shared" si="21"/>
        <v>14733.799999999988</v>
      </c>
      <c r="CG18" s="230">
        <v>26145</v>
      </c>
      <c r="CH18" s="228">
        <v>30513</v>
      </c>
    </row>
    <row r="19" spans="1:90" ht="16.5" thickBot="1" x14ac:dyDescent="0.3">
      <c r="A19" s="29" t="s">
        <v>173</v>
      </c>
      <c r="B19" s="360">
        <v>5439</v>
      </c>
      <c r="C19" s="360">
        <v>24155.759999999998</v>
      </c>
      <c r="D19" s="360">
        <v>4432</v>
      </c>
      <c r="E19" s="360">
        <v>19481.43</v>
      </c>
      <c r="F19" s="360">
        <v>4513</v>
      </c>
      <c r="G19" s="360">
        <v>20062.580000000002</v>
      </c>
      <c r="H19" s="364">
        <f t="shared" si="0"/>
        <v>14384</v>
      </c>
      <c r="I19" s="364">
        <f t="shared" si="0"/>
        <v>63699.770000000004</v>
      </c>
      <c r="J19" s="188">
        <v>15000</v>
      </c>
      <c r="K19" s="188">
        <v>73500</v>
      </c>
      <c r="L19" s="127">
        <f t="shared" si="1"/>
        <v>616</v>
      </c>
      <c r="M19" s="127">
        <f t="shared" si="1"/>
        <v>9800.2299999999959</v>
      </c>
      <c r="N19" s="126">
        <v>14411</v>
      </c>
      <c r="O19" s="126">
        <v>57332.14</v>
      </c>
      <c r="P19" s="9">
        <f t="shared" si="2"/>
        <v>27</v>
      </c>
      <c r="Q19" s="9">
        <f t="shared" si="3"/>
        <v>-6367.6300000000047</v>
      </c>
      <c r="R19" s="368">
        <v>4190</v>
      </c>
      <c r="S19" s="368">
        <v>18980.98</v>
      </c>
      <c r="T19" s="368">
        <v>4110</v>
      </c>
      <c r="U19" s="368">
        <v>18633.509999999998</v>
      </c>
      <c r="V19" s="368">
        <v>967</v>
      </c>
      <c r="W19" s="368">
        <v>4447.46</v>
      </c>
      <c r="X19" s="151">
        <f t="shared" si="4"/>
        <v>9267</v>
      </c>
      <c r="Y19" s="151">
        <f t="shared" si="4"/>
        <v>42061.95</v>
      </c>
      <c r="Z19" s="148">
        <v>13000</v>
      </c>
      <c r="AA19" s="148">
        <v>63700</v>
      </c>
      <c r="AB19" s="153">
        <f t="shared" si="5"/>
        <v>3733</v>
      </c>
      <c r="AC19" s="153">
        <f t="shared" si="5"/>
        <v>21638.050000000003</v>
      </c>
      <c r="AD19" s="154">
        <v>13055</v>
      </c>
      <c r="AE19" s="154">
        <v>52247.82</v>
      </c>
      <c r="AF19" s="151">
        <f t="shared" si="6"/>
        <v>3788</v>
      </c>
      <c r="AG19" s="151">
        <f t="shared" si="6"/>
        <v>10185.870000000003</v>
      </c>
      <c r="AH19" s="155">
        <f t="shared" si="28"/>
        <v>23651</v>
      </c>
      <c r="AI19" s="155">
        <f t="shared" si="29"/>
        <v>105761.72</v>
      </c>
      <c r="AJ19" s="156">
        <v>27466</v>
      </c>
      <c r="AK19" s="156">
        <v>109580</v>
      </c>
      <c r="AL19" s="148">
        <f t="shared" si="7"/>
        <v>28000</v>
      </c>
      <c r="AM19" s="148">
        <f t="shared" si="8"/>
        <v>137200</v>
      </c>
      <c r="AN19" s="149">
        <f t="shared" si="9"/>
        <v>4349</v>
      </c>
      <c r="AO19" s="149">
        <f t="shared" si="9"/>
        <v>31438.28</v>
      </c>
      <c r="AP19" s="150">
        <f t="shared" si="10"/>
        <v>3815</v>
      </c>
      <c r="AQ19" s="150">
        <f t="shared" si="10"/>
        <v>3818.2799999999988</v>
      </c>
      <c r="AR19" s="368">
        <v>2256</v>
      </c>
      <c r="AS19" s="368">
        <v>10107.700000000001</v>
      </c>
      <c r="AT19" s="368">
        <v>4392</v>
      </c>
      <c r="AU19" s="368">
        <v>19310.63</v>
      </c>
      <c r="AV19" s="368">
        <v>4956</v>
      </c>
      <c r="AW19" s="368">
        <v>21513.279999999999</v>
      </c>
      <c r="AX19" s="148">
        <f t="shared" si="22"/>
        <v>11604</v>
      </c>
      <c r="AY19" s="148">
        <f t="shared" si="23"/>
        <v>50931.61</v>
      </c>
      <c r="AZ19" s="168">
        <f>4000+4000+5000</f>
        <v>13000</v>
      </c>
      <c r="BA19" s="168">
        <f>19600+19600+24500</f>
        <v>63700</v>
      </c>
      <c r="BB19" s="149">
        <f t="shared" si="24"/>
        <v>1396</v>
      </c>
      <c r="BC19" s="149">
        <f t="shared" si="25"/>
        <v>12768.39</v>
      </c>
      <c r="BD19" s="148">
        <v>8478</v>
      </c>
      <c r="BE19" s="210">
        <f t="shared" si="26"/>
        <v>-3126</v>
      </c>
      <c r="BF19" s="148">
        <f t="shared" si="11"/>
        <v>35255</v>
      </c>
      <c r="BG19" s="148">
        <f t="shared" si="12"/>
        <v>156693.33000000002</v>
      </c>
      <c r="BH19" s="209">
        <v>35944</v>
      </c>
      <c r="BI19" s="150">
        <f t="shared" si="13"/>
        <v>41000</v>
      </c>
      <c r="BJ19" s="150">
        <f t="shared" si="14"/>
        <v>200900</v>
      </c>
      <c r="BK19" s="153">
        <f t="shared" si="30"/>
        <v>5745</v>
      </c>
      <c r="BL19" s="153">
        <f t="shared" si="31"/>
        <v>44206.669999999984</v>
      </c>
      <c r="BM19" s="210">
        <f t="shared" si="27"/>
        <v>689</v>
      </c>
      <c r="BN19" s="368">
        <v>5037</v>
      </c>
      <c r="BO19" s="372">
        <v>21894.49</v>
      </c>
      <c r="BP19" s="216">
        <v>4956</v>
      </c>
      <c r="BQ19" s="216">
        <v>21047.65</v>
      </c>
      <c r="BR19" s="216">
        <v>5641</v>
      </c>
      <c r="BS19" s="216">
        <v>23676.42</v>
      </c>
      <c r="BT19" s="216">
        <f t="shared" si="15"/>
        <v>15634</v>
      </c>
      <c r="BU19" s="216">
        <f t="shared" si="16"/>
        <v>66618.559999999998</v>
      </c>
      <c r="BV19" s="216">
        <v>15000</v>
      </c>
      <c r="BW19" s="216">
        <v>73500</v>
      </c>
      <c r="BX19" s="216">
        <f t="shared" si="17"/>
        <v>-634</v>
      </c>
      <c r="BY19" s="216">
        <f t="shared" si="18"/>
        <v>6881.4400000000023</v>
      </c>
      <c r="BZ19" s="216">
        <v>17084</v>
      </c>
      <c r="CA19" s="374">
        <f>B19+D19+F19+AR19+AT19+AV19+BN19+BP19+BR19+R19+T19+V19</f>
        <v>50889</v>
      </c>
      <c r="CB19" s="374">
        <f>C19+E19+G19+S19+U19+W19+AS19+AU19+AW19+BO19+BQ19+BS19</f>
        <v>223311.88999999996</v>
      </c>
      <c r="CC19" s="216">
        <v>56000</v>
      </c>
      <c r="CD19" s="216">
        <v>274400</v>
      </c>
      <c r="CE19" s="216">
        <f t="shared" si="20"/>
        <v>5111</v>
      </c>
      <c r="CF19" s="216">
        <f t="shared" si="21"/>
        <v>51088.110000000044</v>
      </c>
      <c r="CG19" s="230">
        <v>53028</v>
      </c>
      <c r="CH19" s="228">
        <v>43725</v>
      </c>
    </row>
    <row r="20" spans="1:90" ht="16.5" thickBot="1" x14ac:dyDescent="0.3">
      <c r="A20" s="29" t="s">
        <v>22</v>
      </c>
      <c r="B20" s="360">
        <v>2851</v>
      </c>
      <c r="C20" s="360">
        <v>12661.9</v>
      </c>
      <c r="D20" s="360">
        <v>3192</v>
      </c>
      <c r="E20" s="360">
        <v>14030.85</v>
      </c>
      <c r="F20" s="360">
        <v>3098</v>
      </c>
      <c r="G20" s="360">
        <v>13772.18</v>
      </c>
      <c r="H20" s="364">
        <f t="shared" si="0"/>
        <v>9141</v>
      </c>
      <c r="I20" s="364">
        <f t="shared" si="0"/>
        <v>40464.93</v>
      </c>
      <c r="J20" s="188">
        <v>11500</v>
      </c>
      <c r="K20" s="188">
        <v>56400</v>
      </c>
      <c r="L20" s="127">
        <f t="shared" si="1"/>
        <v>2359</v>
      </c>
      <c r="M20" s="127">
        <f t="shared" si="1"/>
        <v>15935.07</v>
      </c>
      <c r="N20" s="126">
        <v>10677</v>
      </c>
      <c r="O20" s="126">
        <v>42351.14</v>
      </c>
      <c r="P20" s="9">
        <f t="shared" si="2"/>
        <v>1536</v>
      </c>
      <c r="Q20" s="9">
        <f t="shared" si="3"/>
        <v>1886.2099999999991</v>
      </c>
      <c r="R20" s="368">
        <v>3514</v>
      </c>
      <c r="S20" s="368">
        <v>15918.66</v>
      </c>
      <c r="T20" s="368">
        <v>2950</v>
      </c>
      <c r="U20" s="368">
        <v>13374.42</v>
      </c>
      <c r="V20" s="368">
        <v>928</v>
      </c>
      <c r="W20" s="368">
        <v>4268.08</v>
      </c>
      <c r="X20" s="151">
        <f t="shared" si="4"/>
        <v>7392</v>
      </c>
      <c r="Y20" s="151">
        <f t="shared" si="4"/>
        <v>33561.160000000003</v>
      </c>
      <c r="Z20" s="148">
        <v>9500</v>
      </c>
      <c r="AA20" s="148">
        <v>46500</v>
      </c>
      <c r="AB20" s="153">
        <f t="shared" si="5"/>
        <v>2108</v>
      </c>
      <c r="AC20" s="153">
        <f t="shared" si="5"/>
        <v>12938.839999999997</v>
      </c>
      <c r="AD20" s="154">
        <v>9284</v>
      </c>
      <c r="AE20" s="154">
        <v>37247.79</v>
      </c>
      <c r="AF20" s="151">
        <f t="shared" si="6"/>
        <v>1892</v>
      </c>
      <c r="AG20" s="151">
        <f t="shared" si="6"/>
        <v>3686.6299999999974</v>
      </c>
      <c r="AH20" s="155">
        <f t="shared" si="28"/>
        <v>16533</v>
      </c>
      <c r="AI20" s="155">
        <f t="shared" si="29"/>
        <v>74026.09</v>
      </c>
      <c r="AJ20" s="156">
        <v>19961</v>
      </c>
      <c r="AK20" s="156">
        <v>79599</v>
      </c>
      <c r="AL20" s="148">
        <f t="shared" si="7"/>
        <v>21000</v>
      </c>
      <c r="AM20" s="148">
        <f t="shared" si="8"/>
        <v>102900</v>
      </c>
      <c r="AN20" s="149">
        <f t="shared" si="9"/>
        <v>4467</v>
      </c>
      <c r="AO20" s="149">
        <f t="shared" si="9"/>
        <v>28873.910000000003</v>
      </c>
      <c r="AP20" s="150">
        <f t="shared" si="10"/>
        <v>3428</v>
      </c>
      <c r="AQ20" s="150">
        <f t="shared" si="10"/>
        <v>5572.9100000000035</v>
      </c>
      <c r="AR20" s="368">
        <v>1184</v>
      </c>
      <c r="AS20" s="368">
        <v>5304.75</v>
      </c>
      <c r="AT20" s="368">
        <v>2651</v>
      </c>
      <c r="AU20" s="368">
        <v>11655.85</v>
      </c>
      <c r="AV20" s="368">
        <v>3560</v>
      </c>
      <c r="AW20" s="368">
        <v>15453.45</v>
      </c>
      <c r="AX20" s="148">
        <f t="shared" si="22"/>
        <v>7395</v>
      </c>
      <c r="AY20" s="148">
        <f t="shared" si="23"/>
        <v>32414.05</v>
      </c>
      <c r="AZ20" s="168">
        <f>3000+3000+4000</f>
        <v>10000</v>
      </c>
      <c r="BA20" s="168">
        <f>14700+14700+19600</f>
        <v>49000</v>
      </c>
      <c r="BB20" s="149">
        <f t="shared" si="24"/>
        <v>2605</v>
      </c>
      <c r="BC20" s="149">
        <f t="shared" si="25"/>
        <v>16585.95</v>
      </c>
      <c r="BD20" s="148">
        <v>7190</v>
      </c>
      <c r="BE20" s="210">
        <f t="shared" si="26"/>
        <v>-205</v>
      </c>
      <c r="BF20" s="148">
        <f t="shared" si="11"/>
        <v>23928</v>
      </c>
      <c r="BG20" s="148">
        <f t="shared" si="12"/>
        <v>106440.14</v>
      </c>
      <c r="BH20" s="209">
        <v>27151</v>
      </c>
      <c r="BI20" s="150">
        <f t="shared" si="13"/>
        <v>31000</v>
      </c>
      <c r="BJ20" s="150">
        <f t="shared" si="14"/>
        <v>151900</v>
      </c>
      <c r="BK20" s="153">
        <f t="shared" si="30"/>
        <v>7072</v>
      </c>
      <c r="BL20" s="153">
        <f t="shared" si="31"/>
        <v>45459.86</v>
      </c>
      <c r="BM20" s="210">
        <f t="shared" si="27"/>
        <v>3223</v>
      </c>
      <c r="BN20" s="368">
        <v>3439</v>
      </c>
      <c r="BO20" s="372">
        <v>14948.41</v>
      </c>
      <c r="BP20" s="216">
        <v>3381</v>
      </c>
      <c r="BQ20" s="216">
        <v>14358.78</v>
      </c>
      <c r="BR20" s="216">
        <v>3747</v>
      </c>
      <c r="BS20" s="216">
        <v>15724.93</v>
      </c>
      <c r="BT20" s="216">
        <f t="shared" si="15"/>
        <v>10567</v>
      </c>
      <c r="BU20" s="216">
        <f t="shared" si="16"/>
        <v>45032.12</v>
      </c>
      <c r="BV20" s="216">
        <v>11000</v>
      </c>
      <c r="BW20" s="216">
        <v>54900</v>
      </c>
      <c r="BX20" s="216">
        <f t="shared" si="17"/>
        <v>433</v>
      </c>
      <c r="BY20" s="216">
        <f t="shared" si="18"/>
        <v>9867.8799999999974</v>
      </c>
      <c r="BZ20" s="216">
        <v>9829</v>
      </c>
      <c r="CA20" s="374">
        <f>B20+D20+F20+R20+T20+V20+AR20+AT20+AV20+BN20+BP20+BR20</f>
        <v>34495</v>
      </c>
      <c r="CB20" s="374">
        <f>C20+E20+G20+S20+U20+W20+AS20+AU20+AW20+BO20+BQ20+BS20</f>
        <v>151472.26</v>
      </c>
      <c r="CC20" s="216">
        <v>42000</v>
      </c>
      <c r="CD20" s="216">
        <v>206800</v>
      </c>
      <c r="CE20" s="216">
        <f t="shared" si="20"/>
        <v>7505</v>
      </c>
      <c r="CF20" s="216">
        <f t="shared" si="21"/>
        <v>55327.739999999991</v>
      </c>
      <c r="CG20" s="230">
        <v>36980</v>
      </c>
      <c r="CH20" s="228">
        <v>41450</v>
      </c>
    </row>
    <row r="21" spans="1:90" ht="16.5" thickBot="1" x14ac:dyDescent="0.3">
      <c r="A21" s="29" t="s">
        <v>23</v>
      </c>
      <c r="B21" s="360">
        <v>9440</v>
      </c>
      <c r="C21" s="360">
        <v>35408.629999999997</v>
      </c>
      <c r="D21" s="360">
        <v>9360</v>
      </c>
      <c r="E21" s="360">
        <v>34681.89</v>
      </c>
      <c r="F21" s="360">
        <v>6400</v>
      </c>
      <c r="G21" s="360">
        <v>24196.45</v>
      </c>
      <c r="H21" s="364">
        <f t="shared" si="0"/>
        <v>25200</v>
      </c>
      <c r="I21" s="364">
        <f t="shared" si="0"/>
        <v>94286.969999999987</v>
      </c>
      <c r="J21" s="188">
        <f>9440+9360+6400</f>
        <v>25200</v>
      </c>
      <c r="K21" s="188">
        <f>35400+34700+24200</f>
        <v>94300</v>
      </c>
      <c r="L21" s="127">
        <f t="shared" si="1"/>
        <v>0</v>
      </c>
      <c r="M21" s="127">
        <f t="shared" si="1"/>
        <v>13.030000000013388</v>
      </c>
      <c r="N21" s="126">
        <v>19200</v>
      </c>
      <c r="O21" s="126">
        <v>65452.61</v>
      </c>
      <c r="P21" s="9">
        <f t="shared" si="2"/>
        <v>-6000</v>
      </c>
      <c r="Q21" s="9">
        <f t="shared" si="3"/>
        <v>-28834.359999999986</v>
      </c>
      <c r="R21" s="368">
        <v>5920</v>
      </c>
      <c r="S21" s="368">
        <v>22882.31</v>
      </c>
      <c r="T21" s="368">
        <v>8160</v>
      </c>
      <c r="U21" s="368">
        <v>31570.14</v>
      </c>
      <c r="V21" s="368">
        <v>9280</v>
      </c>
      <c r="W21" s="368">
        <v>36511.370000000003</v>
      </c>
      <c r="X21" s="151">
        <f t="shared" si="4"/>
        <v>23360</v>
      </c>
      <c r="Y21" s="151">
        <f t="shared" si="4"/>
        <v>90963.82</v>
      </c>
      <c r="Z21" s="148">
        <f>5920+8160+9280</f>
        <v>23360</v>
      </c>
      <c r="AA21" s="148">
        <f>22900+31600+36500</f>
        <v>91000</v>
      </c>
      <c r="AB21" s="153">
        <f t="shared" si="5"/>
        <v>0</v>
      </c>
      <c r="AC21" s="153">
        <f t="shared" si="5"/>
        <v>36.179999999993015</v>
      </c>
      <c r="AD21" s="154">
        <v>19840</v>
      </c>
      <c r="AE21" s="154">
        <v>68558.539999999994</v>
      </c>
      <c r="AF21" s="151">
        <f t="shared" si="6"/>
        <v>-3520</v>
      </c>
      <c r="AG21" s="151">
        <f t="shared" si="6"/>
        <v>-22405.280000000013</v>
      </c>
      <c r="AH21" s="155">
        <f t="shared" si="28"/>
        <v>48560</v>
      </c>
      <c r="AI21" s="155">
        <f t="shared" si="29"/>
        <v>185250.78999999998</v>
      </c>
      <c r="AJ21" s="156">
        <v>39040</v>
      </c>
      <c r="AK21" s="156">
        <v>134011</v>
      </c>
      <c r="AL21" s="148">
        <f t="shared" si="7"/>
        <v>48560</v>
      </c>
      <c r="AM21" s="148">
        <f t="shared" si="8"/>
        <v>185300</v>
      </c>
      <c r="AN21" s="149">
        <f t="shared" si="9"/>
        <v>0</v>
      </c>
      <c r="AO21" s="149">
        <f t="shared" si="9"/>
        <v>49.210000000020955</v>
      </c>
      <c r="AP21" s="150">
        <f t="shared" si="10"/>
        <v>-9520</v>
      </c>
      <c r="AQ21" s="150">
        <f t="shared" si="10"/>
        <v>-51239.789999999979</v>
      </c>
      <c r="AR21" s="368">
        <v>5440</v>
      </c>
      <c r="AS21" s="368">
        <v>20756.61</v>
      </c>
      <c r="AT21" s="368">
        <v>1840</v>
      </c>
      <c r="AU21" s="368">
        <v>6866.81</v>
      </c>
      <c r="AV21" s="368">
        <v>9920</v>
      </c>
      <c r="AW21" s="368">
        <v>36466.339999999997</v>
      </c>
      <c r="AX21" s="148">
        <f t="shared" si="22"/>
        <v>17200</v>
      </c>
      <c r="AY21" s="148">
        <f t="shared" si="23"/>
        <v>64089.759999999995</v>
      </c>
      <c r="AZ21" s="168">
        <f>6000+6000+7000</f>
        <v>19000</v>
      </c>
      <c r="BA21" s="168">
        <f>25300+25300+29500</f>
        <v>80100</v>
      </c>
      <c r="BB21" s="149">
        <f t="shared" si="24"/>
        <v>1800</v>
      </c>
      <c r="BC21" s="149">
        <f t="shared" si="25"/>
        <v>16010.240000000005</v>
      </c>
      <c r="BD21" s="148">
        <v>29600</v>
      </c>
      <c r="BE21" s="210">
        <f t="shared" si="26"/>
        <v>12400</v>
      </c>
      <c r="BF21" s="148">
        <f t="shared" si="11"/>
        <v>65760</v>
      </c>
      <c r="BG21" s="148">
        <f t="shared" si="12"/>
        <v>249340.55</v>
      </c>
      <c r="BH21" s="209">
        <v>68640</v>
      </c>
      <c r="BI21" s="150">
        <f t="shared" si="13"/>
        <v>67560</v>
      </c>
      <c r="BJ21" s="150">
        <f t="shared" si="14"/>
        <v>265400</v>
      </c>
      <c r="BK21" s="153">
        <f t="shared" si="30"/>
        <v>1800</v>
      </c>
      <c r="BL21" s="153">
        <f t="shared" si="31"/>
        <v>16059.450000000012</v>
      </c>
      <c r="BM21" s="210">
        <f t="shared" si="27"/>
        <v>2880</v>
      </c>
      <c r="BN21" s="368">
        <v>7280</v>
      </c>
      <c r="BO21" s="372">
        <v>26804.37</v>
      </c>
      <c r="BP21" s="216">
        <v>5760</v>
      </c>
      <c r="BQ21" s="216">
        <v>20632.84</v>
      </c>
      <c r="BR21" s="216">
        <v>8160</v>
      </c>
      <c r="BS21" s="216">
        <v>28819.97</v>
      </c>
      <c r="BT21" s="216">
        <f t="shared" si="15"/>
        <v>21200</v>
      </c>
      <c r="BU21" s="216">
        <f t="shared" si="16"/>
        <v>76257.179999999993</v>
      </c>
      <c r="BV21" s="216">
        <v>24000</v>
      </c>
      <c r="BW21" s="216">
        <v>101100</v>
      </c>
      <c r="BX21" s="216">
        <f t="shared" si="17"/>
        <v>2800</v>
      </c>
      <c r="BY21" s="216">
        <f t="shared" si="18"/>
        <v>24842.820000000007</v>
      </c>
      <c r="BZ21" s="216">
        <v>23440</v>
      </c>
      <c r="CA21" s="374">
        <f>B21+D21+F21+R21+T21+V21+AR21+AT21+AV21+BN21+BP21+BR21</f>
        <v>86960</v>
      </c>
      <c r="CB21" s="374">
        <f>C21+E21+G21+S21+U21+W21+AS21+AU21+AW21+BO21+BQ21+BS21</f>
        <v>325597.73</v>
      </c>
      <c r="CC21" s="216">
        <v>91560</v>
      </c>
      <c r="CD21" s="216">
        <v>366500</v>
      </c>
      <c r="CE21" s="216">
        <f t="shared" si="20"/>
        <v>4600</v>
      </c>
      <c r="CF21" s="216">
        <f t="shared" si="21"/>
        <v>40902.270000000019</v>
      </c>
      <c r="CG21" s="230">
        <v>92080</v>
      </c>
      <c r="CH21" s="228">
        <v>27228</v>
      </c>
    </row>
    <row r="22" spans="1:90" ht="16.5" thickBot="1" x14ac:dyDescent="0.3">
      <c r="A22" s="29" t="s">
        <v>24</v>
      </c>
      <c r="B22" s="360">
        <v>301</v>
      </c>
      <c r="C22" s="360">
        <v>1336.81</v>
      </c>
      <c r="D22" s="360">
        <v>351</v>
      </c>
      <c r="E22" s="360">
        <v>1542.86</v>
      </c>
      <c r="F22" s="360">
        <v>331</v>
      </c>
      <c r="G22" s="360">
        <v>1471.46</v>
      </c>
      <c r="H22" s="364">
        <f t="shared" si="0"/>
        <v>983</v>
      </c>
      <c r="I22" s="364">
        <f t="shared" si="0"/>
        <v>4351.13</v>
      </c>
      <c r="J22" s="188">
        <v>1000</v>
      </c>
      <c r="K22" s="188">
        <v>5000</v>
      </c>
      <c r="L22" s="127">
        <f t="shared" si="1"/>
        <v>17</v>
      </c>
      <c r="M22" s="127">
        <f t="shared" si="1"/>
        <v>648.86999999999989</v>
      </c>
      <c r="N22" s="126">
        <v>1013</v>
      </c>
      <c r="O22" s="126">
        <v>4025.24</v>
      </c>
      <c r="P22" s="9">
        <f t="shared" si="2"/>
        <v>30</v>
      </c>
      <c r="Q22" s="9">
        <f t="shared" si="3"/>
        <v>-325.89000000000033</v>
      </c>
      <c r="R22" s="368">
        <v>381</v>
      </c>
      <c r="S22" s="368">
        <v>1725.95</v>
      </c>
      <c r="T22" s="368">
        <v>351</v>
      </c>
      <c r="U22" s="368">
        <v>1591.32</v>
      </c>
      <c r="V22" s="368">
        <v>381</v>
      </c>
      <c r="W22" s="368">
        <v>1752.3</v>
      </c>
      <c r="X22" s="151">
        <f t="shared" si="4"/>
        <v>1113</v>
      </c>
      <c r="Y22" s="151">
        <f t="shared" si="4"/>
        <v>5069.57</v>
      </c>
      <c r="Z22" s="148">
        <v>900</v>
      </c>
      <c r="AA22" s="148">
        <v>4500</v>
      </c>
      <c r="AB22" s="153">
        <f t="shared" si="5"/>
        <v>-213</v>
      </c>
      <c r="AC22" s="153">
        <f t="shared" si="5"/>
        <v>-569.56999999999971</v>
      </c>
      <c r="AD22" s="154">
        <v>933</v>
      </c>
      <c r="AE22" s="154">
        <v>3745.92</v>
      </c>
      <c r="AF22" s="151">
        <f t="shared" si="6"/>
        <v>-180</v>
      </c>
      <c r="AG22" s="151">
        <f t="shared" si="6"/>
        <v>-1323.6499999999996</v>
      </c>
      <c r="AH22" s="155">
        <f t="shared" si="28"/>
        <v>2096</v>
      </c>
      <c r="AI22" s="155">
        <f t="shared" si="29"/>
        <v>9420.7000000000007</v>
      </c>
      <c r="AJ22" s="156">
        <v>1946</v>
      </c>
      <c r="AK22" s="156">
        <v>7771</v>
      </c>
      <c r="AL22" s="148">
        <f t="shared" si="7"/>
        <v>1900</v>
      </c>
      <c r="AM22" s="148">
        <f t="shared" si="8"/>
        <v>9500</v>
      </c>
      <c r="AN22" s="149">
        <f t="shared" si="9"/>
        <v>-196</v>
      </c>
      <c r="AO22" s="149">
        <f t="shared" si="9"/>
        <v>79.299999999999272</v>
      </c>
      <c r="AP22" s="150">
        <f t="shared" si="10"/>
        <v>-150</v>
      </c>
      <c r="AQ22" s="150">
        <f t="shared" si="10"/>
        <v>-1649.7000000000007</v>
      </c>
      <c r="AR22" s="368">
        <v>56</v>
      </c>
      <c r="AS22" s="368">
        <v>250.9</v>
      </c>
      <c r="AT22" s="368">
        <v>251</v>
      </c>
      <c r="AU22" s="368">
        <v>1103.5999999999999</v>
      </c>
      <c r="AV22" s="368">
        <v>321</v>
      </c>
      <c r="AW22" s="368">
        <v>1393.41</v>
      </c>
      <c r="AX22" s="148">
        <f t="shared" si="22"/>
        <v>628</v>
      </c>
      <c r="AY22" s="148">
        <f t="shared" si="23"/>
        <v>2747.91</v>
      </c>
      <c r="AZ22" s="168">
        <f>150+200+300</f>
        <v>650</v>
      </c>
      <c r="BA22" s="168">
        <f>700+1000+1500</f>
        <v>3200</v>
      </c>
      <c r="BB22" s="149">
        <f t="shared" si="24"/>
        <v>22</v>
      </c>
      <c r="BC22" s="149">
        <f t="shared" si="25"/>
        <v>452.09000000000015</v>
      </c>
      <c r="BD22" s="148">
        <v>592</v>
      </c>
      <c r="BE22" s="210">
        <f t="shared" si="26"/>
        <v>-36</v>
      </c>
      <c r="BF22" s="148">
        <f t="shared" si="11"/>
        <v>2724</v>
      </c>
      <c r="BG22" s="148">
        <f t="shared" si="12"/>
        <v>12168.61</v>
      </c>
      <c r="BH22" s="209">
        <v>2538</v>
      </c>
      <c r="BI22" s="150">
        <f t="shared" si="13"/>
        <v>2550</v>
      </c>
      <c r="BJ22" s="150">
        <f t="shared" si="14"/>
        <v>12700</v>
      </c>
      <c r="BK22" s="153">
        <f t="shared" si="30"/>
        <v>-174</v>
      </c>
      <c r="BL22" s="153">
        <f t="shared" si="31"/>
        <v>531.38999999999942</v>
      </c>
      <c r="BM22" s="210">
        <f t="shared" si="27"/>
        <v>-186</v>
      </c>
      <c r="BN22" s="368">
        <v>331</v>
      </c>
      <c r="BO22" s="372">
        <v>1438.76</v>
      </c>
      <c r="BP22" s="216">
        <v>331</v>
      </c>
      <c r="BQ22" s="216">
        <v>1405.72</v>
      </c>
      <c r="BR22" s="216">
        <v>351</v>
      </c>
      <c r="BS22" s="216">
        <v>1473.03</v>
      </c>
      <c r="BT22" s="216">
        <f t="shared" si="15"/>
        <v>1013</v>
      </c>
      <c r="BU22" s="216">
        <f t="shared" si="16"/>
        <v>4317.51</v>
      </c>
      <c r="BV22" s="216">
        <v>1000</v>
      </c>
      <c r="BW22" s="216">
        <v>5000</v>
      </c>
      <c r="BX22" s="216">
        <f t="shared" si="17"/>
        <v>-13</v>
      </c>
      <c r="BY22" s="216">
        <f t="shared" si="18"/>
        <v>682.48999999999978</v>
      </c>
      <c r="BZ22" s="216">
        <v>1010</v>
      </c>
      <c r="CA22" s="374">
        <f>B22+D22+F22+R22+T22+V22+AR22+AT22+AV22+BN22+BP22+BR22</f>
        <v>3737</v>
      </c>
      <c r="CB22" s="374">
        <f>C22+E22+G22+S22+U22+W22+AS22+AU22+AW22+BO22+BQ22+BS22</f>
        <v>16486.12</v>
      </c>
      <c r="CC22" s="216">
        <v>3550</v>
      </c>
      <c r="CD22" s="216">
        <v>17700</v>
      </c>
      <c r="CE22" s="216">
        <f t="shared" si="20"/>
        <v>-187</v>
      </c>
      <c r="CF22" s="216">
        <f t="shared" si="21"/>
        <v>1213.880000000001</v>
      </c>
      <c r="CG22" s="230">
        <v>3548</v>
      </c>
      <c r="CH22" s="228">
        <v>2659</v>
      </c>
    </row>
    <row r="23" spans="1:90" ht="16.5" thickBot="1" x14ac:dyDescent="0.3">
      <c r="A23" s="29" t="s">
        <v>25</v>
      </c>
      <c r="B23" s="360"/>
      <c r="C23" s="360"/>
      <c r="D23" s="360"/>
      <c r="E23" s="360"/>
      <c r="F23" s="360"/>
      <c r="G23" s="360"/>
      <c r="H23" s="364"/>
      <c r="I23" s="364"/>
      <c r="J23" s="188"/>
      <c r="K23" s="188"/>
      <c r="L23" s="127"/>
      <c r="M23" s="127"/>
      <c r="N23" s="126"/>
      <c r="O23" s="126"/>
      <c r="P23" s="9"/>
      <c r="Q23" s="9"/>
      <c r="R23" s="368"/>
      <c r="S23" s="368"/>
      <c r="T23" s="368"/>
      <c r="U23" s="368"/>
      <c r="V23" s="368"/>
      <c r="W23" s="368"/>
      <c r="X23" s="151"/>
      <c r="Y23" s="151"/>
      <c r="Z23" s="148"/>
      <c r="AA23" s="148"/>
      <c r="AB23" s="153"/>
      <c r="AC23" s="153"/>
      <c r="AD23" s="154"/>
      <c r="AE23" s="154"/>
      <c r="AF23" s="151"/>
      <c r="AG23" s="151"/>
      <c r="AH23" s="155"/>
      <c r="AI23" s="155"/>
      <c r="AJ23" s="156"/>
      <c r="AK23" s="156"/>
      <c r="AL23" s="148"/>
      <c r="AM23" s="148"/>
      <c r="AN23" s="149"/>
      <c r="AO23" s="149"/>
      <c r="AP23" s="150"/>
      <c r="AQ23" s="150"/>
      <c r="AR23" s="368"/>
      <c r="AS23" s="368"/>
      <c r="AT23" s="368"/>
      <c r="AU23" s="368"/>
      <c r="AV23" s="368"/>
      <c r="AW23" s="368"/>
      <c r="AX23" s="148"/>
      <c r="AY23" s="148"/>
      <c r="AZ23" s="168"/>
      <c r="BA23" s="168"/>
      <c r="BB23" s="149">
        <f t="shared" si="24"/>
        <v>0</v>
      </c>
      <c r="BC23" s="149">
        <f t="shared" si="25"/>
        <v>0</v>
      </c>
      <c r="BD23" s="148"/>
      <c r="BE23" s="210"/>
      <c r="BF23" s="148"/>
      <c r="BG23" s="148"/>
      <c r="BH23" s="209"/>
      <c r="BI23" s="150"/>
      <c r="BJ23" s="150"/>
      <c r="BK23" s="153">
        <f t="shared" si="30"/>
        <v>0</v>
      </c>
      <c r="BL23" s="153">
        <f t="shared" si="31"/>
        <v>0</v>
      </c>
      <c r="BM23" s="210"/>
      <c r="BN23" s="368"/>
      <c r="BO23" s="372"/>
      <c r="BP23" s="216"/>
      <c r="BQ23" s="216"/>
      <c r="BR23" s="216"/>
      <c r="BS23" s="216"/>
      <c r="BT23" s="216">
        <f t="shared" si="15"/>
        <v>0</v>
      </c>
      <c r="BU23" s="216">
        <f t="shared" si="16"/>
        <v>0</v>
      </c>
      <c r="BV23" s="216"/>
      <c r="BW23" s="216"/>
      <c r="BX23" s="216"/>
      <c r="BY23" s="216"/>
      <c r="BZ23" s="216"/>
      <c r="CA23" s="374"/>
      <c r="CB23" s="374">
        <f>C23+E23+G23+S23+U23+W23+AS23+AU23+AW23+BO23+BQ23+BS23</f>
        <v>0</v>
      </c>
      <c r="CC23" s="216"/>
      <c r="CD23" s="216"/>
      <c r="CE23" s="216"/>
      <c r="CF23" s="216"/>
      <c r="CG23" s="230"/>
      <c r="CH23" s="228"/>
    </row>
    <row r="24" spans="1:90" s="36" customFormat="1" ht="16.5" thickBot="1" x14ac:dyDescent="0.3">
      <c r="A24" s="175" t="s">
        <v>26</v>
      </c>
      <c r="B24" s="38">
        <f t="shared" ref="B24:I24" si="33">SUM(B6:B22)</f>
        <v>100677</v>
      </c>
      <c r="C24" s="38">
        <f t="shared" si="33"/>
        <v>420098.87000000005</v>
      </c>
      <c r="D24" s="38">
        <f t="shared" si="33"/>
        <v>85378</v>
      </c>
      <c r="E24" s="38">
        <f t="shared" si="33"/>
        <v>345944.74999999994</v>
      </c>
      <c r="F24" s="38">
        <f t="shared" si="33"/>
        <v>58698</v>
      </c>
      <c r="G24" s="38">
        <f t="shared" si="33"/>
        <v>240032.13000000003</v>
      </c>
      <c r="H24" s="38">
        <f t="shared" si="33"/>
        <v>244753</v>
      </c>
      <c r="I24" s="38">
        <f t="shared" si="33"/>
        <v>1006075.75</v>
      </c>
      <c r="J24" s="38">
        <f>SUM(J6:J23)</f>
        <v>210400</v>
      </c>
      <c r="K24" s="38">
        <f>SUM(K6:K23)</f>
        <v>937050</v>
      </c>
      <c r="L24" s="38">
        <f>J24-H24</f>
        <v>-34353</v>
      </c>
      <c r="M24" s="38">
        <f>K24-I24</f>
        <v>-69025.75</v>
      </c>
      <c r="N24" s="38">
        <v>188070</v>
      </c>
      <c r="O24" s="38">
        <v>679390.39</v>
      </c>
      <c r="P24" s="38">
        <f>N24-H24</f>
        <v>-56683</v>
      </c>
      <c r="Q24" s="38">
        <f>O24-I24</f>
        <v>-326685.36</v>
      </c>
      <c r="R24" s="157">
        <f t="shared" ref="R24:Y24" si="34">SUM(R6:R22)</f>
        <v>49938</v>
      </c>
      <c r="S24" s="157">
        <f t="shared" si="34"/>
        <v>207500.05000000005</v>
      </c>
      <c r="T24" s="157">
        <f t="shared" si="34"/>
        <v>45037</v>
      </c>
      <c r="U24" s="157">
        <f t="shared" si="34"/>
        <v>187111.27000000002</v>
      </c>
      <c r="V24" s="157">
        <f t="shared" si="34"/>
        <v>38389</v>
      </c>
      <c r="W24" s="157">
        <f t="shared" si="34"/>
        <v>158411.02000000002</v>
      </c>
      <c r="X24" s="157">
        <f t="shared" si="34"/>
        <v>133364</v>
      </c>
      <c r="Y24" s="157">
        <f t="shared" si="34"/>
        <v>553022.34</v>
      </c>
      <c r="Z24" s="157">
        <f>SUM(Z6:Z23)</f>
        <v>149360</v>
      </c>
      <c r="AA24" s="157">
        <f>SUM(AA6:AA23)</f>
        <v>677500</v>
      </c>
      <c r="AB24" s="157">
        <f>Z24-X24</f>
        <v>15996</v>
      </c>
      <c r="AC24" s="157">
        <f>AA24-Y24</f>
        <v>124477.66000000003</v>
      </c>
      <c r="AD24" s="157">
        <f>SUM(AD6:AD23)</f>
        <v>152583</v>
      </c>
      <c r="AE24" s="157">
        <f>SUM(AE6:AE23)</f>
        <v>558656.64</v>
      </c>
      <c r="AF24" s="157">
        <f>AD24-X24</f>
        <v>19219</v>
      </c>
      <c r="AG24" s="157">
        <f>AE24-Y24</f>
        <v>5634.3000000000466</v>
      </c>
      <c r="AH24" s="157">
        <f t="shared" ref="AH24:AI24" si="35">SUM(AH6:AH23)</f>
        <v>378117</v>
      </c>
      <c r="AI24" s="157">
        <f t="shared" si="35"/>
        <v>1559098.09</v>
      </c>
      <c r="AJ24" s="157">
        <f>SUM(AJ6:AJ23)</f>
        <v>340647</v>
      </c>
      <c r="AK24" s="157">
        <f>SUM(AK6:AK23)</f>
        <v>1238048</v>
      </c>
      <c r="AL24" s="157">
        <f>SUM(AL6:AL22)</f>
        <v>359760</v>
      </c>
      <c r="AM24" s="157">
        <f>SUM(AM6:AM22)</f>
        <v>1614550</v>
      </c>
      <c r="AN24" s="157">
        <f>AL24-AH24</f>
        <v>-18357</v>
      </c>
      <c r="AO24" s="157">
        <f>AM24-AI24</f>
        <v>55451.909999999916</v>
      </c>
      <c r="AP24" s="158">
        <f>AJ24-AH24</f>
        <v>-37470</v>
      </c>
      <c r="AQ24" s="158">
        <f>AK24-AI24</f>
        <v>-321050.09000000008</v>
      </c>
      <c r="AR24" s="157">
        <f t="shared" ref="AR24:BL24" si="36">SUM(AR6:AR22)</f>
        <v>21658</v>
      </c>
      <c r="AS24" s="157">
        <f t="shared" si="36"/>
        <v>86100.91</v>
      </c>
      <c r="AT24" s="157">
        <f t="shared" si="36"/>
        <v>22949</v>
      </c>
      <c r="AU24" s="157">
        <f t="shared" si="36"/>
        <v>93994.640000000014</v>
      </c>
      <c r="AV24" s="157">
        <f>SUM(AV6:AV22)</f>
        <v>59189</v>
      </c>
      <c r="AW24" s="157">
        <f t="shared" si="36"/>
        <v>232556.13999999998</v>
      </c>
      <c r="AX24" s="157">
        <f t="shared" si="36"/>
        <v>103796</v>
      </c>
      <c r="AY24" s="157">
        <f t="shared" si="36"/>
        <v>412651.68999999994</v>
      </c>
      <c r="AZ24" s="157">
        <f t="shared" si="36"/>
        <v>120150</v>
      </c>
      <c r="BA24" s="157">
        <f t="shared" si="36"/>
        <v>537900</v>
      </c>
      <c r="BB24" s="157">
        <f t="shared" si="36"/>
        <v>16354</v>
      </c>
      <c r="BC24" s="157">
        <f t="shared" si="36"/>
        <v>125248.31</v>
      </c>
      <c r="BD24" s="157">
        <f t="shared" si="36"/>
        <v>122508</v>
      </c>
      <c r="BE24" s="157">
        <f>SUM(BE6:BE22)</f>
        <v>18712</v>
      </c>
      <c r="BF24" s="157">
        <f t="shared" si="36"/>
        <v>481913</v>
      </c>
      <c r="BG24" s="157">
        <f t="shared" si="36"/>
        <v>1971749.78</v>
      </c>
      <c r="BH24" s="157">
        <f t="shared" si="36"/>
        <v>463161</v>
      </c>
      <c r="BI24" s="157">
        <f t="shared" si="36"/>
        <v>479910</v>
      </c>
      <c r="BJ24" s="157">
        <f t="shared" si="36"/>
        <v>2152450</v>
      </c>
      <c r="BK24" s="157">
        <f t="shared" si="36"/>
        <v>-2003</v>
      </c>
      <c r="BL24" s="157">
        <f t="shared" si="36"/>
        <v>180700.21999999997</v>
      </c>
      <c r="BM24" s="157">
        <f>SUM(BM6:BM22)</f>
        <v>-18752</v>
      </c>
      <c r="BN24" s="157">
        <f>SUM(BN6:BN22)</f>
        <v>69165</v>
      </c>
      <c r="BO24" s="213">
        <f t="shared" ref="BO24" si="37">SUM(BO6:BO22)</f>
        <v>273230.76</v>
      </c>
      <c r="BP24" s="219">
        <f>SUM(BP6:BP22)</f>
        <v>68768</v>
      </c>
      <c r="BQ24" s="219">
        <f>SUM(BQ6:BQ22)</f>
        <v>268370.46000000002</v>
      </c>
      <c r="BR24" s="219">
        <f>SUM(BR6:BR22)</f>
        <v>78234</v>
      </c>
      <c r="BS24" s="219">
        <f>SUM(BS6:BS22)</f>
        <v>298406.09000000008</v>
      </c>
      <c r="BT24" s="217">
        <f>SUM(BT6:BT23)</f>
        <v>216167</v>
      </c>
      <c r="BU24" s="217">
        <f>SUM(BU6:BU23)</f>
        <v>840007.31</v>
      </c>
      <c r="BV24" s="217">
        <f t="shared" ref="BV24:CG24" si="38">SUM(BV6:BV22)</f>
        <v>220300</v>
      </c>
      <c r="BW24" s="217">
        <f t="shared" si="38"/>
        <v>993800</v>
      </c>
      <c r="BX24" s="217">
        <f t="shared" si="38"/>
        <v>4133</v>
      </c>
      <c r="BY24" s="217">
        <f t="shared" si="38"/>
        <v>153792.68999999997</v>
      </c>
      <c r="BZ24" s="217">
        <f t="shared" si="38"/>
        <v>212162</v>
      </c>
      <c r="CA24" s="217">
        <f t="shared" si="38"/>
        <v>698080</v>
      </c>
      <c r="CB24" s="217">
        <f>SUM(CB6:CB23)</f>
        <v>2811757.0900000003</v>
      </c>
      <c r="CC24" s="217">
        <f t="shared" si="38"/>
        <v>700210</v>
      </c>
      <c r="CD24" s="217">
        <f t="shared" si="38"/>
        <v>3131600</v>
      </c>
      <c r="CE24" s="217">
        <f>SUM(CE6:CE22)</f>
        <v>2130</v>
      </c>
      <c r="CF24" s="217">
        <f t="shared" si="38"/>
        <v>319842.91000000015</v>
      </c>
      <c r="CG24" s="223">
        <f t="shared" si="38"/>
        <v>675323</v>
      </c>
      <c r="CH24" s="225">
        <f>SUM(CH6:CH22)</f>
        <v>769964</v>
      </c>
      <c r="CI24" s="221"/>
      <c r="CJ24" s="221"/>
      <c r="CK24" s="221"/>
      <c r="CL24" s="221"/>
    </row>
    <row r="25" spans="1:90" ht="16.5" thickBot="1" x14ac:dyDescent="0.3">
      <c r="A25" s="172"/>
      <c r="B25" s="360"/>
      <c r="C25" s="360"/>
      <c r="D25" s="360"/>
      <c r="E25" s="360"/>
      <c r="F25" s="360"/>
      <c r="G25" s="360"/>
      <c r="H25" s="364"/>
      <c r="I25" s="364"/>
      <c r="J25" s="188"/>
      <c r="K25" s="188"/>
      <c r="L25" s="127"/>
      <c r="M25" s="127"/>
      <c r="N25" s="126"/>
      <c r="O25" s="126"/>
      <c r="P25" s="9"/>
      <c r="Q25" s="9"/>
      <c r="R25" s="368"/>
      <c r="S25" s="368"/>
      <c r="T25" s="368"/>
      <c r="U25" s="368"/>
      <c r="V25" s="368"/>
      <c r="W25" s="368"/>
      <c r="X25" s="151"/>
      <c r="Y25" s="151"/>
      <c r="Z25" s="148"/>
      <c r="AA25" s="148"/>
      <c r="AB25" s="153"/>
      <c r="AC25" s="153"/>
      <c r="AD25" s="154"/>
      <c r="AE25" s="154"/>
      <c r="AF25" s="151"/>
      <c r="AG25" s="151"/>
      <c r="AH25" s="155"/>
      <c r="AI25" s="155"/>
      <c r="AJ25" s="156"/>
      <c r="AK25" s="156"/>
      <c r="AL25" s="148"/>
      <c r="AM25" s="148"/>
      <c r="AN25" s="149"/>
      <c r="AO25" s="149"/>
      <c r="AP25" s="150"/>
      <c r="AQ25" s="150"/>
      <c r="AR25" s="368"/>
      <c r="AS25" s="368"/>
      <c r="AT25" s="368"/>
      <c r="AU25" s="368"/>
      <c r="AV25" s="368"/>
      <c r="AW25" s="368"/>
      <c r="AX25" s="148"/>
      <c r="AY25" s="148"/>
      <c r="AZ25" s="168"/>
      <c r="BA25" s="168"/>
      <c r="BB25" s="149"/>
      <c r="BC25" s="149"/>
      <c r="BD25" s="148"/>
      <c r="BE25" s="210"/>
      <c r="BF25" s="148"/>
      <c r="BG25" s="148"/>
      <c r="BH25" s="209"/>
      <c r="BI25" s="150"/>
      <c r="BJ25" s="150"/>
      <c r="BK25" s="153"/>
      <c r="BL25" s="153"/>
      <c r="BM25" s="210"/>
      <c r="BN25" s="368"/>
      <c r="BO25" s="372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374"/>
      <c r="CB25" s="374"/>
      <c r="CC25" s="216"/>
      <c r="CD25" s="216"/>
      <c r="CE25" s="216"/>
      <c r="CF25" s="216"/>
      <c r="CG25" s="230"/>
      <c r="CH25" s="228"/>
    </row>
    <row r="26" spans="1:90" ht="16.5" thickBot="1" x14ac:dyDescent="0.3">
      <c r="A26" s="169" t="s">
        <v>27</v>
      </c>
      <c r="B26" s="360"/>
      <c r="C26" s="360"/>
      <c r="D26" s="360"/>
      <c r="E26" s="360"/>
      <c r="F26" s="360"/>
      <c r="G26" s="360"/>
      <c r="H26" s="364"/>
      <c r="I26" s="364"/>
      <c r="J26" s="188"/>
      <c r="K26" s="188"/>
      <c r="L26" s="127"/>
      <c r="M26" s="127"/>
      <c r="N26" s="126"/>
      <c r="O26" s="126"/>
      <c r="P26" s="9"/>
      <c r="Q26" s="9"/>
      <c r="R26" s="368"/>
      <c r="S26" s="368"/>
      <c r="T26" s="368"/>
      <c r="U26" s="368"/>
      <c r="V26" s="368"/>
      <c r="W26" s="368"/>
      <c r="X26" s="151"/>
      <c r="Y26" s="151"/>
      <c r="Z26" s="148"/>
      <c r="AA26" s="148"/>
      <c r="AB26" s="153"/>
      <c r="AC26" s="153"/>
      <c r="AD26" s="154"/>
      <c r="AE26" s="154"/>
      <c r="AF26" s="151"/>
      <c r="AG26" s="151"/>
      <c r="AH26" s="155"/>
      <c r="AI26" s="155"/>
      <c r="AJ26" s="156"/>
      <c r="AK26" s="156"/>
      <c r="AL26" s="148"/>
      <c r="AM26" s="148"/>
      <c r="AN26" s="149"/>
      <c r="AO26" s="149"/>
      <c r="AP26" s="150"/>
      <c r="AQ26" s="150"/>
      <c r="AR26" s="368"/>
      <c r="AS26" s="368"/>
      <c r="AT26" s="368"/>
      <c r="AU26" s="368"/>
      <c r="AV26" s="368"/>
      <c r="AW26" s="368"/>
      <c r="AX26" s="148"/>
      <c r="AY26" s="148"/>
      <c r="AZ26" s="168"/>
      <c r="BA26" s="168"/>
      <c r="BB26" s="149"/>
      <c r="BC26" s="149"/>
      <c r="BD26" s="148"/>
      <c r="BE26" s="210"/>
      <c r="BF26" s="148"/>
      <c r="BG26" s="148"/>
      <c r="BH26" s="209"/>
      <c r="BI26" s="150"/>
      <c r="BJ26" s="150"/>
      <c r="BK26" s="153"/>
      <c r="BL26" s="153"/>
      <c r="BM26" s="210"/>
      <c r="BN26" s="368"/>
      <c r="BO26" s="372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374"/>
      <c r="CB26" s="374"/>
      <c r="CC26" s="216"/>
      <c r="CD26" s="216"/>
      <c r="CE26" s="216"/>
      <c r="CF26" s="216"/>
      <c r="CG26" s="230"/>
      <c r="CH26" s="228"/>
    </row>
    <row r="27" spans="1:90" ht="16.5" thickBot="1" x14ac:dyDescent="0.3">
      <c r="A27" s="29" t="s">
        <v>28</v>
      </c>
      <c r="B27" s="360"/>
      <c r="C27" s="360"/>
      <c r="D27" s="360"/>
      <c r="E27" s="360"/>
      <c r="F27" s="360"/>
      <c r="G27" s="360"/>
      <c r="H27" s="364"/>
      <c r="I27" s="364"/>
      <c r="J27" s="188"/>
      <c r="K27" s="188"/>
      <c r="L27" s="127"/>
      <c r="M27" s="127"/>
      <c r="N27" s="126">
        <v>0</v>
      </c>
      <c r="O27" s="126">
        <v>0</v>
      </c>
      <c r="P27" s="9"/>
      <c r="Q27" s="9"/>
      <c r="R27" s="368"/>
      <c r="S27" s="368"/>
      <c r="T27" s="368"/>
      <c r="U27" s="368"/>
      <c r="V27" s="368"/>
      <c r="W27" s="368"/>
      <c r="X27" s="151"/>
      <c r="Y27" s="151"/>
      <c r="Z27" s="148"/>
      <c r="AA27" s="148"/>
      <c r="AB27" s="153"/>
      <c r="AC27" s="153"/>
      <c r="AD27" s="154">
        <v>0</v>
      </c>
      <c r="AE27" s="154">
        <v>0</v>
      </c>
      <c r="AF27" s="151"/>
      <c r="AG27" s="151"/>
      <c r="AH27" s="155"/>
      <c r="AI27" s="155"/>
      <c r="AJ27" s="156"/>
      <c r="AK27" s="156"/>
      <c r="AL27" s="148"/>
      <c r="AM27" s="148"/>
      <c r="AN27" s="149"/>
      <c r="AO27" s="149"/>
      <c r="AP27" s="150"/>
      <c r="AQ27" s="150"/>
      <c r="AR27" s="368"/>
      <c r="AS27" s="368"/>
      <c r="AT27" s="368"/>
      <c r="AU27" s="368"/>
      <c r="AV27" s="368"/>
      <c r="AW27" s="368"/>
      <c r="AX27" s="148">
        <f t="shared" ref="AX27:AX31" si="39">AR27+AT27+AV27</f>
        <v>0</v>
      </c>
      <c r="AY27" s="148">
        <f t="shared" ref="AY27:AY31" si="40">AS27+AU27+AW27</f>
        <v>0</v>
      </c>
      <c r="AZ27" s="168"/>
      <c r="BA27" s="168"/>
      <c r="BB27" s="149">
        <f t="shared" ref="BB27:BB31" si="41">AZ27-AX27</f>
        <v>0</v>
      </c>
      <c r="BC27" s="149">
        <f t="shared" ref="BC27:BC31" si="42">BA27-AY27</f>
        <v>0</v>
      </c>
      <c r="BD27" s="148"/>
      <c r="BE27" s="210">
        <f t="shared" ref="BE27:BE31" si="43">BD27-AX27</f>
        <v>0</v>
      </c>
      <c r="BF27" s="148">
        <f t="shared" ref="BF27:BG31" si="44">AH27+AX27</f>
        <v>0</v>
      </c>
      <c r="BG27" s="148">
        <f t="shared" si="44"/>
        <v>0</v>
      </c>
      <c r="BH27" s="209"/>
      <c r="BI27" s="150"/>
      <c r="BJ27" s="150"/>
      <c r="BK27" s="153"/>
      <c r="BL27" s="153"/>
      <c r="BM27" s="210">
        <f t="shared" ref="BM27:BM31" si="45">BH27-BF27</f>
        <v>0</v>
      </c>
      <c r="BN27" s="368"/>
      <c r="BO27" s="372"/>
      <c r="BP27" s="216"/>
      <c r="BQ27" s="216"/>
      <c r="BR27" s="216"/>
      <c r="BS27" s="216"/>
      <c r="BT27" s="216">
        <f t="shared" ref="BT27:BU31" si="46">BN27+BP27+BR27</f>
        <v>0</v>
      </c>
      <c r="BU27" s="216">
        <f t="shared" si="46"/>
        <v>0</v>
      </c>
      <c r="BV27" s="216"/>
      <c r="BW27" s="216"/>
      <c r="BX27" s="216"/>
      <c r="BY27" s="216"/>
      <c r="BZ27" s="216"/>
      <c r="CA27" s="374"/>
      <c r="CB27" s="374"/>
      <c r="CC27" s="216"/>
      <c r="CD27" s="216"/>
      <c r="CE27" s="216"/>
      <c r="CF27" s="216"/>
      <c r="CG27" s="230"/>
      <c r="CH27" s="228">
        <v>2061</v>
      </c>
    </row>
    <row r="28" spans="1:90" ht="16.5" thickBot="1" x14ac:dyDescent="0.3">
      <c r="A28" s="29" t="s">
        <v>29</v>
      </c>
      <c r="B28" s="360">
        <v>79</v>
      </c>
      <c r="C28" s="360">
        <v>350.86</v>
      </c>
      <c r="D28" s="360">
        <v>98</v>
      </c>
      <c r="E28" s="360">
        <v>430.77</v>
      </c>
      <c r="F28" s="360">
        <v>94</v>
      </c>
      <c r="G28" s="360">
        <v>417.87</v>
      </c>
      <c r="H28" s="364">
        <f t="shared" ref="H28:I31" si="47">B28+D28+F28</f>
        <v>271</v>
      </c>
      <c r="I28" s="364">
        <f t="shared" si="47"/>
        <v>1199.5</v>
      </c>
      <c r="J28" s="188">
        <v>350</v>
      </c>
      <c r="K28" s="188">
        <v>1700</v>
      </c>
      <c r="L28" s="127">
        <f>J28-H28</f>
        <v>79</v>
      </c>
      <c r="M28" s="127">
        <f>K28-I28</f>
        <v>500.5</v>
      </c>
      <c r="N28" s="126">
        <v>201</v>
      </c>
      <c r="O28" s="126">
        <v>800.2</v>
      </c>
      <c r="P28" s="9">
        <f t="shared" ref="P28:Q35" si="48">N28-H28</f>
        <v>-70</v>
      </c>
      <c r="Q28" s="9">
        <f t="shared" si="48"/>
        <v>-399.29999999999995</v>
      </c>
      <c r="R28" s="368">
        <v>90</v>
      </c>
      <c r="S28" s="368">
        <v>407.7</v>
      </c>
      <c r="T28" s="368">
        <v>57</v>
      </c>
      <c r="U28" s="368">
        <v>258.42</v>
      </c>
      <c r="V28" s="368"/>
      <c r="W28" s="368"/>
      <c r="X28" s="151">
        <f t="shared" ref="X28:Y31" si="49">R28+T28+V28</f>
        <v>147</v>
      </c>
      <c r="Y28" s="151">
        <f t="shared" si="49"/>
        <v>666.12</v>
      </c>
      <c r="Z28" s="148">
        <v>270</v>
      </c>
      <c r="AA28" s="148">
        <v>1300</v>
      </c>
      <c r="AB28" s="153">
        <f t="shared" ref="AB28:AC35" si="50">Z28-X28</f>
        <v>123</v>
      </c>
      <c r="AC28" s="153">
        <f t="shared" si="50"/>
        <v>633.88</v>
      </c>
      <c r="AD28" s="154">
        <v>219</v>
      </c>
      <c r="AE28" s="154">
        <v>895.66</v>
      </c>
      <c r="AF28" s="151">
        <f t="shared" ref="AF28:AG35" si="51">AD28-X28</f>
        <v>72</v>
      </c>
      <c r="AG28" s="151">
        <f t="shared" si="51"/>
        <v>229.53999999999996</v>
      </c>
      <c r="AH28" s="155">
        <f t="shared" ref="AH28:AH31" si="52">H28+X28</f>
        <v>418</v>
      </c>
      <c r="AI28" s="155">
        <f t="shared" ref="AI28:AI31" si="53">I28+Y28</f>
        <v>1865.62</v>
      </c>
      <c r="AJ28" s="156">
        <v>420</v>
      </c>
      <c r="AK28" s="156">
        <v>1696</v>
      </c>
      <c r="AL28" s="148">
        <f t="shared" ref="AL28:AM28" si="54">J28+Z28</f>
        <v>620</v>
      </c>
      <c r="AM28" s="148">
        <f t="shared" si="54"/>
        <v>3000</v>
      </c>
      <c r="AN28" s="149">
        <f t="shared" ref="AN28:AO35" si="55">AL28-AH28</f>
        <v>202</v>
      </c>
      <c r="AO28" s="149">
        <f t="shared" si="55"/>
        <v>1134.3800000000001</v>
      </c>
      <c r="AP28" s="150">
        <f t="shared" ref="AP28:AQ35" si="56">AJ28-AH28</f>
        <v>2</v>
      </c>
      <c r="AQ28" s="150">
        <f t="shared" si="56"/>
        <v>-169.61999999999989</v>
      </c>
      <c r="AR28" s="368">
        <v>225</v>
      </c>
      <c r="AS28" s="368">
        <v>1008.09</v>
      </c>
      <c r="AT28" s="368">
        <v>54</v>
      </c>
      <c r="AU28" s="368">
        <v>237.43</v>
      </c>
      <c r="AV28" s="368">
        <v>115</v>
      </c>
      <c r="AW28" s="368">
        <v>499.2</v>
      </c>
      <c r="AX28" s="148">
        <f t="shared" si="39"/>
        <v>394</v>
      </c>
      <c r="AY28" s="148">
        <f t="shared" si="40"/>
        <v>1744.72</v>
      </c>
      <c r="AZ28" s="168">
        <f>240</f>
        <v>240</v>
      </c>
      <c r="BA28" s="168">
        <f>300+400+500</f>
        <v>1200</v>
      </c>
      <c r="BB28" s="149">
        <f t="shared" si="41"/>
        <v>-154</v>
      </c>
      <c r="BC28" s="149">
        <f t="shared" si="42"/>
        <v>-544.72</v>
      </c>
      <c r="BD28" s="148">
        <v>234</v>
      </c>
      <c r="BE28" s="210">
        <f t="shared" si="43"/>
        <v>-160</v>
      </c>
      <c r="BF28" s="148">
        <f t="shared" si="44"/>
        <v>812</v>
      </c>
      <c r="BG28" s="148">
        <f t="shared" si="44"/>
        <v>3610.34</v>
      </c>
      <c r="BH28" s="209">
        <v>654</v>
      </c>
      <c r="BI28" s="150">
        <f t="shared" ref="BI28:BJ31" si="57">AL28+AZ28</f>
        <v>860</v>
      </c>
      <c r="BJ28" s="150">
        <f t="shared" si="57"/>
        <v>4200</v>
      </c>
      <c r="BK28" s="153">
        <f t="shared" ref="BK28:BK31" si="58">BI28-BF28</f>
        <v>48</v>
      </c>
      <c r="BL28" s="153">
        <f t="shared" ref="BL28:BL31" si="59">BJ28-BG28</f>
        <v>589.65999999999985</v>
      </c>
      <c r="BM28" s="210">
        <f t="shared" si="45"/>
        <v>-158</v>
      </c>
      <c r="BN28" s="368">
        <v>79</v>
      </c>
      <c r="BO28" s="372">
        <v>343.39</v>
      </c>
      <c r="BP28" s="216">
        <v>116</v>
      </c>
      <c r="BQ28" s="216">
        <v>492.64</v>
      </c>
      <c r="BR28" s="216">
        <v>54</v>
      </c>
      <c r="BS28" s="216">
        <v>226.62</v>
      </c>
      <c r="BT28" s="216">
        <f t="shared" si="46"/>
        <v>249</v>
      </c>
      <c r="BU28" s="216">
        <f t="shared" si="46"/>
        <v>1062.6500000000001</v>
      </c>
      <c r="BV28" s="216">
        <v>340</v>
      </c>
      <c r="BW28" s="216">
        <v>1700</v>
      </c>
      <c r="BX28" s="216">
        <f t="shared" ref="BX28:BY31" si="60">BV28-BT28</f>
        <v>91</v>
      </c>
      <c r="BY28" s="216">
        <f t="shared" si="60"/>
        <v>637.34999999999991</v>
      </c>
      <c r="BZ28" s="216">
        <v>298</v>
      </c>
      <c r="CA28" s="374">
        <f>B28+D28+F28+R28+T28+V28+AR28+AT28+AV28+BN28+BP28+BR28</f>
        <v>1061</v>
      </c>
      <c r="CB28" s="374">
        <f>C28+E28+G28+S28+U28+W28+AS28+AU28+AW28+BO28+BQ28+BS28</f>
        <v>4672.99</v>
      </c>
      <c r="CC28" s="216">
        <v>1200</v>
      </c>
      <c r="CD28" s="216">
        <v>5900</v>
      </c>
      <c r="CE28" s="216">
        <f t="shared" ref="CE28:CF31" si="61">CC28-CA28</f>
        <v>139</v>
      </c>
      <c r="CF28" s="216">
        <f t="shared" si="61"/>
        <v>1227.0100000000002</v>
      </c>
      <c r="CG28" s="230">
        <v>952</v>
      </c>
      <c r="CH28" s="228">
        <v>923</v>
      </c>
    </row>
    <row r="29" spans="1:90" ht="16.5" thickBot="1" x14ac:dyDescent="0.3">
      <c r="A29" s="29" t="s">
        <v>30</v>
      </c>
      <c r="B29" s="360">
        <v>2731</v>
      </c>
      <c r="C29" s="360">
        <v>10243.75</v>
      </c>
      <c r="D29" s="360">
        <v>2699</v>
      </c>
      <c r="E29" s="360">
        <v>10000.68</v>
      </c>
      <c r="F29" s="360">
        <v>2693</v>
      </c>
      <c r="G29" s="360">
        <v>10181.42</v>
      </c>
      <c r="H29" s="364">
        <f t="shared" si="47"/>
        <v>8123</v>
      </c>
      <c r="I29" s="364">
        <f t="shared" si="47"/>
        <v>30425.85</v>
      </c>
      <c r="J29" s="188">
        <v>8500</v>
      </c>
      <c r="K29" s="188">
        <v>35700</v>
      </c>
      <c r="L29" s="127">
        <f>J29-H29</f>
        <v>377</v>
      </c>
      <c r="M29" s="127">
        <f>K29-I29</f>
        <v>5274.1500000000015</v>
      </c>
      <c r="N29" s="126">
        <v>7913</v>
      </c>
      <c r="O29" s="126">
        <v>26976.93</v>
      </c>
      <c r="P29" s="9">
        <f t="shared" si="48"/>
        <v>-210</v>
      </c>
      <c r="Q29" s="9">
        <f t="shared" si="48"/>
        <v>-3448.9199999999983</v>
      </c>
      <c r="R29" s="368">
        <v>3141</v>
      </c>
      <c r="S29" s="368">
        <v>12140.77</v>
      </c>
      <c r="T29" s="368">
        <v>2145</v>
      </c>
      <c r="U29" s="368">
        <v>8298.76</v>
      </c>
      <c r="V29" s="368">
        <v>1684</v>
      </c>
      <c r="W29" s="368">
        <v>6625.55</v>
      </c>
      <c r="X29" s="151">
        <f t="shared" si="49"/>
        <v>6970</v>
      </c>
      <c r="Y29" s="151">
        <f t="shared" si="49"/>
        <v>27065.079999999998</v>
      </c>
      <c r="Z29" s="148">
        <v>6000</v>
      </c>
      <c r="AA29" s="148">
        <v>25200</v>
      </c>
      <c r="AB29" s="153">
        <f t="shared" si="50"/>
        <v>-970</v>
      </c>
      <c r="AC29" s="153">
        <f t="shared" si="50"/>
        <v>-1865.0799999999981</v>
      </c>
      <c r="AD29" s="154">
        <v>6161</v>
      </c>
      <c r="AE29" s="154">
        <v>21313.71</v>
      </c>
      <c r="AF29" s="151">
        <f t="shared" si="51"/>
        <v>-809</v>
      </c>
      <c r="AG29" s="151">
        <f t="shared" si="51"/>
        <v>-5751.369999999999</v>
      </c>
      <c r="AH29" s="155">
        <f t="shared" si="52"/>
        <v>15093</v>
      </c>
      <c r="AI29" s="155">
        <f t="shared" si="53"/>
        <v>57490.929999999993</v>
      </c>
      <c r="AJ29" s="156">
        <v>14091</v>
      </c>
      <c r="AK29" s="156">
        <v>48291</v>
      </c>
      <c r="AL29" s="148">
        <f t="shared" ref="AL29:AL31" si="62">J29+Z29</f>
        <v>14500</v>
      </c>
      <c r="AM29" s="148">
        <f t="shared" ref="AM29:AM31" si="63">K29+AA29</f>
        <v>60900</v>
      </c>
      <c r="AN29" s="149">
        <f t="shared" si="55"/>
        <v>-593</v>
      </c>
      <c r="AO29" s="149">
        <f t="shared" si="55"/>
        <v>3409.070000000007</v>
      </c>
      <c r="AP29" s="150">
        <f t="shared" si="56"/>
        <v>-1002</v>
      </c>
      <c r="AQ29" s="150">
        <f t="shared" si="56"/>
        <v>-9199.929999999993</v>
      </c>
      <c r="AR29" s="368">
        <v>1350</v>
      </c>
      <c r="AS29" s="368">
        <v>5150.99</v>
      </c>
      <c r="AT29" s="368">
        <v>1698</v>
      </c>
      <c r="AU29" s="368">
        <v>6336.88</v>
      </c>
      <c r="AV29" s="368">
        <v>2214</v>
      </c>
      <c r="AW29" s="368">
        <v>8138.78</v>
      </c>
      <c r="AX29" s="148">
        <f t="shared" si="39"/>
        <v>5262</v>
      </c>
      <c r="AY29" s="148">
        <f t="shared" si="40"/>
        <v>19626.649999999998</v>
      </c>
      <c r="AZ29" s="168">
        <f>1000+1200+1800</f>
        <v>4000</v>
      </c>
      <c r="BA29" s="168">
        <f>4200+500+7600</f>
        <v>12300</v>
      </c>
      <c r="BB29" s="149">
        <f t="shared" si="41"/>
        <v>-1262</v>
      </c>
      <c r="BC29" s="149">
        <f t="shared" si="42"/>
        <v>-7326.6499999999978</v>
      </c>
      <c r="BD29" s="148">
        <v>4756</v>
      </c>
      <c r="BE29" s="210">
        <f t="shared" si="43"/>
        <v>-506</v>
      </c>
      <c r="BF29" s="148">
        <f t="shared" si="44"/>
        <v>20355</v>
      </c>
      <c r="BG29" s="148">
        <f t="shared" si="44"/>
        <v>77117.579999999987</v>
      </c>
      <c r="BH29" s="209">
        <v>18847</v>
      </c>
      <c r="BI29" s="150">
        <f t="shared" si="57"/>
        <v>18500</v>
      </c>
      <c r="BJ29" s="150">
        <f t="shared" si="57"/>
        <v>73200</v>
      </c>
      <c r="BK29" s="153">
        <f t="shared" si="58"/>
        <v>-1855</v>
      </c>
      <c r="BL29" s="153">
        <f t="shared" si="59"/>
        <v>-3917.5799999999872</v>
      </c>
      <c r="BM29" s="210">
        <f t="shared" si="45"/>
        <v>-1508</v>
      </c>
      <c r="BN29" s="368">
        <v>3091</v>
      </c>
      <c r="BO29" s="372">
        <v>11380.8</v>
      </c>
      <c r="BP29" s="216">
        <v>2778</v>
      </c>
      <c r="BQ29" s="216">
        <v>9951.0400000000009</v>
      </c>
      <c r="BR29" s="216">
        <v>3171</v>
      </c>
      <c r="BS29" s="216">
        <v>11199.53</v>
      </c>
      <c r="BT29" s="216">
        <f t="shared" si="46"/>
        <v>9040</v>
      </c>
      <c r="BU29" s="216">
        <f t="shared" si="46"/>
        <v>32531.370000000003</v>
      </c>
      <c r="BV29" s="216">
        <v>8500</v>
      </c>
      <c r="BW29" s="216">
        <v>35900</v>
      </c>
      <c r="BX29" s="216">
        <f t="shared" si="60"/>
        <v>-540</v>
      </c>
      <c r="BY29" s="216">
        <f t="shared" si="60"/>
        <v>3368.6299999999974</v>
      </c>
      <c r="BZ29" s="216">
        <v>10124</v>
      </c>
      <c r="CA29" s="374">
        <f>B29+D29+F29+R29+T29+V29+AR29+AT29+AV29+BN29+BP29+BR29</f>
        <v>29395</v>
      </c>
      <c r="CB29" s="374">
        <f>C29+E29+G29+S29+U29+W29+AS29+AU29+AW29+BO29+BQ29+BS29</f>
        <v>109648.95000000001</v>
      </c>
      <c r="CC29" s="216">
        <v>27000</v>
      </c>
      <c r="CD29" s="216">
        <v>113600</v>
      </c>
      <c r="CE29" s="216">
        <f t="shared" si="61"/>
        <v>-2395</v>
      </c>
      <c r="CF29" s="216">
        <f t="shared" si="61"/>
        <v>3951.0499999999884</v>
      </c>
      <c r="CG29" s="230">
        <v>28971</v>
      </c>
      <c r="CH29" s="228">
        <v>30061</v>
      </c>
    </row>
    <row r="30" spans="1:90" ht="16.5" thickBot="1" x14ac:dyDescent="0.3">
      <c r="A30" s="29" t="s">
        <v>72</v>
      </c>
      <c r="B30" s="360">
        <v>425</v>
      </c>
      <c r="C30" s="360">
        <v>1887.52</v>
      </c>
      <c r="D30" s="360">
        <v>308</v>
      </c>
      <c r="E30" s="360">
        <v>1353.85</v>
      </c>
      <c r="F30" s="360">
        <v>468</v>
      </c>
      <c r="G30" s="360">
        <v>2080.4899999999998</v>
      </c>
      <c r="H30" s="364">
        <f t="shared" si="47"/>
        <v>1201</v>
      </c>
      <c r="I30" s="364">
        <f t="shared" si="47"/>
        <v>5321.86</v>
      </c>
      <c r="J30" s="188">
        <v>900</v>
      </c>
      <c r="K30" s="188">
        <v>4500</v>
      </c>
      <c r="L30" s="127">
        <f t="shared" ref="L30:M35" si="64">J30-H30</f>
        <v>-301</v>
      </c>
      <c r="M30" s="127">
        <f t="shared" si="64"/>
        <v>-821.85999999999967</v>
      </c>
      <c r="N30" s="126">
        <v>20644</v>
      </c>
      <c r="O30" s="126">
        <v>81506.710000000006</v>
      </c>
      <c r="P30" s="9">
        <f t="shared" si="48"/>
        <v>19443</v>
      </c>
      <c r="Q30" s="9">
        <f t="shared" si="48"/>
        <v>76184.850000000006</v>
      </c>
      <c r="R30" s="368">
        <v>504</v>
      </c>
      <c r="S30" s="368">
        <v>2283.16</v>
      </c>
      <c r="T30" s="368">
        <v>179</v>
      </c>
      <c r="U30" s="368">
        <v>811.53</v>
      </c>
      <c r="V30" s="368">
        <v>143</v>
      </c>
      <c r="W30" s="368">
        <v>657.68</v>
      </c>
      <c r="X30" s="151">
        <f t="shared" si="49"/>
        <v>826</v>
      </c>
      <c r="Y30" s="151">
        <f t="shared" si="49"/>
        <v>3752.3699999999994</v>
      </c>
      <c r="Z30" s="148">
        <v>900</v>
      </c>
      <c r="AA30" s="148">
        <v>4500</v>
      </c>
      <c r="AB30" s="153">
        <f t="shared" si="50"/>
        <v>74</v>
      </c>
      <c r="AC30" s="153">
        <f t="shared" si="50"/>
        <v>747.63000000000056</v>
      </c>
      <c r="AD30" s="154">
        <v>5451</v>
      </c>
      <c r="AE30" s="154">
        <v>21455.91</v>
      </c>
      <c r="AF30" s="151">
        <f t="shared" si="51"/>
        <v>4625</v>
      </c>
      <c r="AG30" s="151">
        <f t="shared" si="51"/>
        <v>17703.54</v>
      </c>
      <c r="AH30" s="155">
        <f t="shared" si="52"/>
        <v>2027</v>
      </c>
      <c r="AI30" s="155">
        <f t="shared" si="53"/>
        <v>9074.23</v>
      </c>
      <c r="AJ30" s="156">
        <v>26095</v>
      </c>
      <c r="AK30" s="156">
        <v>102963</v>
      </c>
      <c r="AL30" s="148">
        <f t="shared" si="62"/>
        <v>1800</v>
      </c>
      <c r="AM30" s="148">
        <f t="shared" si="63"/>
        <v>9000</v>
      </c>
      <c r="AN30" s="149">
        <f t="shared" si="55"/>
        <v>-227</v>
      </c>
      <c r="AO30" s="149">
        <f t="shared" si="55"/>
        <v>-74.229999999999563</v>
      </c>
      <c r="AP30" s="150">
        <f t="shared" si="56"/>
        <v>24068</v>
      </c>
      <c r="AQ30" s="150">
        <f t="shared" si="56"/>
        <v>93888.77</v>
      </c>
      <c r="AR30" s="368">
        <v>131</v>
      </c>
      <c r="AS30" s="368">
        <v>586.92999999999995</v>
      </c>
      <c r="AT30" s="368">
        <v>159</v>
      </c>
      <c r="AU30" s="368">
        <v>699.09</v>
      </c>
      <c r="AV30" s="368">
        <v>230</v>
      </c>
      <c r="AW30" s="368">
        <v>998.4</v>
      </c>
      <c r="AX30" s="148">
        <f t="shared" si="39"/>
        <v>520</v>
      </c>
      <c r="AY30" s="148">
        <f t="shared" si="40"/>
        <v>2284.42</v>
      </c>
      <c r="AZ30" s="168">
        <f>150+150+300</f>
        <v>600</v>
      </c>
      <c r="BA30" s="168">
        <f>700+700+1500</f>
        <v>2900</v>
      </c>
      <c r="BB30" s="149">
        <f t="shared" si="41"/>
        <v>80</v>
      </c>
      <c r="BC30" s="149">
        <f t="shared" si="42"/>
        <v>615.57999999999993</v>
      </c>
      <c r="BD30" s="148">
        <v>591</v>
      </c>
      <c r="BE30" s="210">
        <f t="shared" si="43"/>
        <v>71</v>
      </c>
      <c r="BF30" s="148">
        <f t="shared" si="44"/>
        <v>2547</v>
      </c>
      <c r="BG30" s="148">
        <f t="shared" si="44"/>
        <v>11358.65</v>
      </c>
      <c r="BH30" s="209">
        <v>26686</v>
      </c>
      <c r="BI30" s="150">
        <f t="shared" si="57"/>
        <v>2400</v>
      </c>
      <c r="BJ30" s="150">
        <f t="shared" si="57"/>
        <v>11900</v>
      </c>
      <c r="BK30" s="153">
        <f t="shared" si="58"/>
        <v>-147</v>
      </c>
      <c r="BL30" s="153">
        <f t="shared" si="59"/>
        <v>541.35000000000036</v>
      </c>
      <c r="BM30" s="210">
        <f t="shared" si="45"/>
        <v>24139</v>
      </c>
      <c r="BN30" s="368">
        <v>326</v>
      </c>
      <c r="BO30" s="372">
        <v>1417.04</v>
      </c>
      <c r="BP30" s="216">
        <v>621</v>
      </c>
      <c r="BQ30" s="216">
        <v>2637.32</v>
      </c>
      <c r="BR30" s="216">
        <v>198</v>
      </c>
      <c r="BS30" s="216">
        <v>830.94</v>
      </c>
      <c r="BT30" s="216">
        <f t="shared" si="46"/>
        <v>1145</v>
      </c>
      <c r="BU30" s="216">
        <f t="shared" si="46"/>
        <v>4885.3</v>
      </c>
      <c r="BV30" s="216">
        <v>900</v>
      </c>
      <c r="BW30" s="216">
        <v>4700</v>
      </c>
      <c r="BX30" s="216">
        <f t="shared" si="60"/>
        <v>-245</v>
      </c>
      <c r="BY30" s="216">
        <f t="shared" si="60"/>
        <v>-185.30000000000018</v>
      </c>
      <c r="BZ30" s="216">
        <v>1937</v>
      </c>
      <c r="CA30" s="374">
        <f>B30+D30+F30+R30+T30+V30+AR30+AT30+AV30+BP30+BR30+BN30</f>
        <v>3692</v>
      </c>
      <c r="CB30" s="374">
        <f>C30+E30+G30+S30+U30+W30+AS30+AU30+AW30+BO30+BQ30+BS30</f>
        <v>16243.949999999999</v>
      </c>
      <c r="CC30" s="216">
        <v>3300</v>
      </c>
      <c r="CD30" s="216">
        <v>16600</v>
      </c>
      <c r="CE30" s="216">
        <f t="shared" si="61"/>
        <v>-392</v>
      </c>
      <c r="CF30" s="216">
        <f t="shared" si="61"/>
        <v>356.05000000000109</v>
      </c>
      <c r="CG30" s="230">
        <v>28623</v>
      </c>
      <c r="CH30" s="228">
        <v>34385</v>
      </c>
    </row>
    <row r="31" spans="1:90" ht="16.5" thickBot="1" x14ac:dyDescent="0.3">
      <c r="A31" s="29" t="s">
        <v>31</v>
      </c>
      <c r="B31" s="360">
        <v>189</v>
      </c>
      <c r="C31" s="360">
        <v>839.39</v>
      </c>
      <c r="D31" s="360">
        <v>310</v>
      </c>
      <c r="E31" s="360">
        <v>1362.64</v>
      </c>
      <c r="F31" s="360">
        <v>348</v>
      </c>
      <c r="G31" s="360">
        <v>1547.04</v>
      </c>
      <c r="H31" s="364">
        <f t="shared" si="47"/>
        <v>847</v>
      </c>
      <c r="I31" s="364">
        <f t="shared" si="47"/>
        <v>3749.07</v>
      </c>
      <c r="J31" s="188">
        <f>190+310+350</f>
        <v>850</v>
      </c>
      <c r="K31" s="188">
        <f>900+1500+1700</f>
        <v>4100</v>
      </c>
      <c r="L31" s="127">
        <f t="shared" si="64"/>
        <v>3</v>
      </c>
      <c r="M31" s="127">
        <f t="shared" si="64"/>
        <v>350.92999999999984</v>
      </c>
      <c r="N31" s="126">
        <v>0</v>
      </c>
      <c r="O31" s="126">
        <v>0</v>
      </c>
      <c r="P31" s="9">
        <f t="shared" si="48"/>
        <v>-847</v>
      </c>
      <c r="Q31" s="9">
        <f t="shared" si="48"/>
        <v>-3749.07</v>
      </c>
      <c r="R31" s="368">
        <v>371</v>
      </c>
      <c r="S31" s="368">
        <v>1680.65</v>
      </c>
      <c r="T31" s="368">
        <v>229</v>
      </c>
      <c r="U31" s="368">
        <v>1038.22</v>
      </c>
      <c r="V31" s="368">
        <v>172</v>
      </c>
      <c r="W31" s="368">
        <v>791.07</v>
      </c>
      <c r="X31" s="151">
        <f t="shared" si="49"/>
        <v>772</v>
      </c>
      <c r="Y31" s="151">
        <f t="shared" si="49"/>
        <v>3509.94</v>
      </c>
      <c r="Z31" s="148">
        <f>370+230+170</f>
        <v>770</v>
      </c>
      <c r="AA31" s="148">
        <f>1800+1100+800</f>
        <v>3700</v>
      </c>
      <c r="AB31" s="153">
        <f t="shared" si="50"/>
        <v>-2</v>
      </c>
      <c r="AC31" s="153">
        <f t="shared" si="50"/>
        <v>190.05999999999995</v>
      </c>
      <c r="AD31" s="154">
        <v>1060</v>
      </c>
      <c r="AE31" s="154">
        <v>4191.25</v>
      </c>
      <c r="AF31" s="151">
        <f t="shared" si="51"/>
        <v>288</v>
      </c>
      <c r="AG31" s="151">
        <f t="shared" si="51"/>
        <v>681.31</v>
      </c>
      <c r="AH31" s="155">
        <f t="shared" si="52"/>
        <v>1619</v>
      </c>
      <c r="AI31" s="155">
        <f t="shared" si="53"/>
        <v>7259.01</v>
      </c>
      <c r="AJ31" s="156">
        <v>1060</v>
      </c>
      <c r="AK31" s="156">
        <v>4191</v>
      </c>
      <c r="AL31" s="148">
        <f t="shared" si="62"/>
        <v>1620</v>
      </c>
      <c r="AM31" s="148">
        <f t="shared" si="63"/>
        <v>7800</v>
      </c>
      <c r="AN31" s="149">
        <f t="shared" si="55"/>
        <v>1</v>
      </c>
      <c r="AO31" s="149">
        <f t="shared" si="55"/>
        <v>540.98999999999978</v>
      </c>
      <c r="AP31" s="150">
        <f t="shared" si="56"/>
        <v>-559</v>
      </c>
      <c r="AQ31" s="150">
        <f t="shared" si="56"/>
        <v>-3068.01</v>
      </c>
      <c r="AR31" s="368">
        <v>42</v>
      </c>
      <c r="AS31" s="368">
        <v>188.17</v>
      </c>
      <c r="AT31" s="368">
        <v>74</v>
      </c>
      <c r="AU31" s="368">
        <v>325.36</v>
      </c>
      <c r="AV31" s="368">
        <v>383</v>
      </c>
      <c r="AW31" s="368">
        <v>1662.55</v>
      </c>
      <c r="AX31" s="148">
        <f t="shared" si="39"/>
        <v>499</v>
      </c>
      <c r="AY31" s="148">
        <f t="shared" si="40"/>
        <v>2176.08</v>
      </c>
      <c r="AZ31" s="168">
        <f>100+100+370</f>
        <v>570</v>
      </c>
      <c r="BA31" s="168">
        <f>500+500+1800</f>
        <v>2800</v>
      </c>
      <c r="BB31" s="149">
        <f t="shared" si="41"/>
        <v>71</v>
      </c>
      <c r="BC31" s="149">
        <f t="shared" si="42"/>
        <v>623.92000000000007</v>
      </c>
      <c r="BD31" s="148">
        <v>269</v>
      </c>
      <c r="BE31" s="210">
        <f t="shared" si="43"/>
        <v>-230</v>
      </c>
      <c r="BF31" s="148">
        <f t="shared" si="44"/>
        <v>2118</v>
      </c>
      <c r="BG31" s="148">
        <f t="shared" si="44"/>
        <v>9435.09</v>
      </c>
      <c r="BH31" s="209">
        <v>1329</v>
      </c>
      <c r="BI31" s="150">
        <f t="shared" si="57"/>
        <v>2190</v>
      </c>
      <c r="BJ31" s="150">
        <f t="shared" si="57"/>
        <v>10600</v>
      </c>
      <c r="BK31" s="153">
        <f t="shared" si="58"/>
        <v>72</v>
      </c>
      <c r="BL31" s="153">
        <f t="shared" si="59"/>
        <v>1164.9099999999999</v>
      </c>
      <c r="BM31" s="210">
        <f t="shared" si="45"/>
        <v>-789</v>
      </c>
      <c r="BN31" s="368">
        <v>353</v>
      </c>
      <c r="BO31" s="372">
        <v>1534.4</v>
      </c>
      <c r="BP31" s="216">
        <v>434</v>
      </c>
      <c r="BQ31" s="216">
        <v>1843.16</v>
      </c>
      <c r="BR31" s="216">
        <v>319</v>
      </c>
      <c r="BS31" s="216">
        <v>1339.58</v>
      </c>
      <c r="BT31" s="216">
        <f t="shared" si="46"/>
        <v>1106</v>
      </c>
      <c r="BU31" s="216">
        <f t="shared" si="46"/>
        <v>4717.1400000000003</v>
      </c>
      <c r="BV31" s="216">
        <v>1110</v>
      </c>
      <c r="BW31" s="216">
        <v>5400</v>
      </c>
      <c r="BX31" s="216">
        <f t="shared" si="60"/>
        <v>4</v>
      </c>
      <c r="BY31" s="216">
        <f t="shared" si="60"/>
        <v>682.85999999999967</v>
      </c>
      <c r="BZ31" s="216">
        <v>874</v>
      </c>
      <c r="CA31" s="374">
        <f>B31+D31+F31+R31+T31+V31+AR31+AT31+AV31+BN31+BP31+BR31</f>
        <v>3224</v>
      </c>
      <c r="CB31" s="374">
        <f>C31+E31+G31+S31+U31+W31+AS31+AU31+AW31+BO31+BQ31+BS31</f>
        <v>14152.23</v>
      </c>
      <c r="CC31" s="216">
        <v>3300</v>
      </c>
      <c r="CD31" s="216">
        <v>16000</v>
      </c>
      <c r="CE31" s="216">
        <f t="shared" si="61"/>
        <v>76</v>
      </c>
      <c r="CF31" s="216">
        <f t="shared" si="61"/>
        <v>1847.7700000000004</v>
      </c>
      <c r="CG31" s="230">
        <v>2203</v>
      </c>
      <c r="CH31" s="228">
        <v>921</v>
      </c>
    </row>
    <row r="32" spans="1:90" s="131" customFormat="1" ht="16.5" thickBot="1" x14ac:dyDescent="0.3">
      <c r="A32" s="201" t="s">
        <v>32</v>
      </c>
      <c r="B32" s="180">
        <f t="shared" ref="B32:K32" si="65">SUM(B33:B42)</f>
        <v>2108</v>
      </c>
      <c r="C32" s="180">
        <f t="shared" si="65"/>
        <v>9149.4599999999991</v>
      </c>
      <c r="D32" s="180">
        <f t="shared" si="65"/>
        <v>2369</v>
      </c>
      <c r="E32" s="180">
        <f t="shared" si="65"/>
        <v>10101.200000000001</v>
      </c>
      <c r="F32" s="180">
        <f t="shared" si="65"/>
        <v>1478</v>
      </c>
      <c r="G32" s="180">
        <f t="shared" si="65"/>
        <v>6373.67</v>
      </c>
      <c r="H32" s="180">
        <f t="shared" si="65"/>
        <v>5955</v>
      </c>
      <c r="I32" s="180">
        <f t="shared" si="65"/>
        <v>25624.329999999994</v>
      </c>
      <c r="J32" s="180">
        <f t="shared" si="65"/>
        <v>5550</v>
      </c>
      <c r="K32" s="180">
        <f t="shared" si="65"/>
        <v>27300</v>
      </c>
      <c r="L32" s="180">
        <f t="shared" si="64"/>
        <v>-405</v>
      </c>
      <c r="M32" s="180">
        <f t="shared" si="64"/>
        <v>1675.6700000000055</v>
      </c>
      <c r="N32" s="180">
        <v>6310</v>
      </c>
      <c r="O32" s="180">
        <v>24346.950000000004</v>
      </c>
      <c r="P32" s="180">
        <f t="shared" si="48"/>
        <v>355</v>
      </c>
      <c r="Q32" s="180">
        <f t="shared" si="48"/>
        <v>-1277.3799999999901</v>
      </c>
      <c r="R32" s="181">
        <f t="shared" ref="R32:AA32" si="66">SUM(R33:R42)</f>
        <v>1020</v>
      </c>
      <c r="S32" s="181">
        <f t="shared" si="66"/>
        <v>4476.3900000000003</v>
      </c>
      <c r="T32" s="181">
        <f t="shared" si="66"/>
        <v>630</v>
      </c>
      <c r="U32" s="181">
        <f t="shared" si="66"/>
        <v>2678.0599999999995</v>
      </c>
      <c r="V32" s="181">
        <f t="shared" si="66"/>
        <v>301</v>
      </c>
      <c r="W32" s="181">
        <f t="shared" si="66"/>
        <v>1291.9800000000002</v>
      </c>
      <c r="X32" s="181">
        <f t="shared" si="66"/>
        <v>1951</v>
      </c>
      <c r="Y32" s="181">
        <f t="shared" si="66"/>
        <v>8446.43</v>
      </c>
      <c r="Z32" s="181">
        <f t="shared" si="66"/>
        <v>2280</v>
      </c>
      <c r="AA32" s="181">
        <f t="shared" si="66"/>
        <v>13220</v>
      </c>
      <c r="AB32" s="181">
        <f t="shared" si="50"/>
        <v>329</v>
      </c>
      <c r="AC32" s="181">
        <f t="shared" si="50"/>
        <v>4773.57</v>
      </c>
      <c r="AD32" s="181">
        <f>SUM(AD33:AD43)</f>
        <v>2471</v>
      </c>
      <c r="AE32" s="181">
        <f>SUM(AE33:AE43)</f>
        <v>9499.2799999999988</v>
      </c>
      <c r="AF32" s="181">
        <f t="shared" si="51"/>
        <v>520</v>
      </c>
      <c r="AG32" s="181">
        <f t="shared" si="51"/>
        <v>1052.8499999999985</v>
      </c>
      <c r="AH32" s="181">
        <f t="shared" ref="AH32:AI32" si="67">SUM(AH33:AH42)</f>
        <v>7906</v>
      </c>
      <c r="AI32" s="181">
        <f t="shared" si="67"/>
        <v>34070.76</v>
      </c>
      <c r="AJ32" s="181">
        <f>SUM(AJ33:AJ42)</f>
        <v>8781</v>
      </c>
      <c r="AK32" s="181">
        <f>SUM(AK33:AK43)</f>
        <v>33846</v>
      </c>
      <c r="AL32" s="181">
        <f t="shared" ref="AL32:AM32" si="68">SUM(AL33:AL43)</f>
        <v>7830</v>
      </c>
      <c r="AM32" s="181">
        <f t="shared" si="68"/>
        <v>40520</v>
      </c>
      <c r="AN32" s="181">
        <f t="shared" si="55"/>
        <v>-76</v>
      </c>
      <c r="AO32" s="181">
        <f t="shared" si="55"/>
        <v>6449.239999999998</v>
      </c>
      <c r="AP32" s="202">
        <f t="shared" si="56"/>
        <v>875</v>
      </c>
      <c r="AQ32" s="202">
        <f t="shared" si="56"/>
        <v>-224.76000000000204</v>
      </c>
      <c r="AR32" s="181">
        <f t="shared" ref="AR32:BL32" si="69">SUM(AR33:AR43)</f>
        <v>0</v>
      </c>
      <c r="AS32" s="181">
        <f t="shared" si="69"/>
        <v>0</v>
      </c>
      <c r="AT32" s="181">
        <f t="shared" si="69"/>
        <v>0</v>
      </c>
      <c r="AU32" s="181">
        <f t="shared" si="69"/>
        <v>0</v>
      </c>
      <c r="AV32" s="181">
        <f t="shared" si="69"/>
        <v>1412</v>
      </c>
      <c r="AW32" s="181">
        <f t="shared" si="69"/>
        <v>5827.91</v>
      </c>
      <c r="AX32" s="181">
        <f t="shared" si="69"/>
        <v>1412</v>
      </c>
      <c r="AY32" s="181">
        <f t="shared" si="69"/>
        <v>5827.91</v>
      </c>
      <c r="AZ32" s="181">
        <f t="shared" si="69"/>
        <v>1310</v>
      </c>
      <c r="BA32" s="181">
        <f t="shared" si="69"/>
        <v>5500</v>
      </c>
      <c r="BB32" s="181">
        <f t="shared" si="69"/>
        <v>-102</v>
      </c>
      <c r="BC32" s="181">
        <f t="shared" si="69"/>
        <v>-327.91000000000008</v>
      </c>
      <c r="BD32" s="181">
        <f>SUM(BD33:BD43)</f>
        <v>1043</v>
      </c>
      <c r="BE32" s="181">
        <f>SUM(BE33:BE43)</f>
        <v>-369</v>
      </c>
      <c r="BF32" s="181">
        <f t="shared" si="69"/>
        <v>9318</v>
      </c>
      <c r="BG32" s="181">
        <f t="shared" si="69"/>
        <v>39898.67</v>
      </c>
      <c r="BH32" s="181">
        <f t="shared" si="69"/>
        <v>9824</v>
      </c>
      <c r="BI32" s="181">
        <f t="shared" si="69"/>
        <v>9140</v>
      </c>
      <c r="BJ32" s="181">
        <f t="shared" si="69"/>
        <v>46020</v>
      </c>
      <c r="BK32" s="181">
        <f t="shared" si="69"/>
        <v>-178</v>
      </c>
      <c r="BL32" s="181">
        <f t="shared" si="69"/>
        <v>6121.3300000000017</v>
      </c>
      <c r="BM32" s="181">
        <f>SUM(BM33:BM43)</f>
        <v>506</v>
      </c>
      <c r="BN32" s="181">
        <f>SUM(BN33:BN43)</f>
        <v>1020</v>
      </c>
      <c r="BO32" s="214">
        <f t="shared" ref="BO32" si="70">SUM(BO33:BO43)</f>
        <v>4160.4399999999996</v>
      </c>
      <c r="BP32" s="218">
        <f t="shared" ref="BP32:CG32" si="71">SUM(BP33:BP43)</f>
        <v>2412</v>
      </c>
      <c r="BQ32" s="218">
        <f t="shared" si="71"/>
        <v>11731.99</v>
      </c>
      <c r="BR32" s="220">
        <f t="shared" si="71"/>
        <v>1844</v>
      </c>
      <c r="BS32" s="220">
        <f t="shared" si="71"/>
        <v>7507.2600000000011</v>
      </c>
      <c r="BT32" s="218">
        <f t="shared" si="71"/>
        <v>5276</v>
      </c>
      <c r="BU32" s="218">
        <f t="shared" si="71"/>
        <v>23399.69</v>
      </c>
      <c r="BV32" s="218">
        <f t="shared" si="71"/>
        <v>4660</v>
      </c>
      <c r="BW32" s="218">
        <f t="shared" si="71"/>
        <v>23100</v>
      </c>
      <c r="BX32" s="218">
        <f t="shared" si="71"/>
        <v>-616</v>
      </c>
      <c r="BY32" s="218">
        <f t="shared" si="71"/>
        <v>-299.68999999999846</v>
      </c>
      <c r="BZ32" s="218">
        <f t="shared" si="71"/>
        <v>4160</v>
      </c>
      <c r="CA32" s="218">
        <f t="shared" si="71"/>
        <v>14594</v>
      </c>
      <c r="CB32" s="218">
        <f t="shared" si="71"/>
        <v>63661.279999999999</v>
      </c>
      <c r="CC32" s="218">
        <f t="shared" si="71"/>
        <v>13800</v>
      </c>
      <c r="CD32" s="218">
        <f t="shared" si="71"/>
        <v>68100</v>
      </c>
      <c r="CE32" s="218">
        <f>SUM(CE33:CE43)</f>
        <v>-794</v>
      </c>
      <c r="CF32" s="218">
        <f t="shared" si="71"/>
        <v>4438.7199999999975</v>
      </c>
      <c r="CG32" s="224">
        <f t="shared" si="71"/>
        <v>13984</v>
      </c>
      <c r="CH32" s="226">
        <f>SUM(CH33:CH43)</f>
        <v>17732</v>
      </c>
      <c r="CI32" s="221"/>
      <c r="CJ32" s="221"/>
      <c r="CK32" s="221"/>
      <c r="CL32" s="221"/>
    </row>
    <row r="33" spans="1:95" ht="16.5" thickBot="1" x14ac:dyDescent="0.3">
      <c r="A33" s="29" t="s">
        <v>33</v>
      </c>
      <c r="B33" s="360">
        <v>1392</v>
      </c>
      <c r="C33" s="360">
        <v>6182.17</v>
      </c>
      <c r="D33" s="360">
        <v>1373</v>
      </c>
      <c r="E33" s="360">
        <v>6052.79</v>
      </c>
      <c r="F33" s="360">
        <v>728</v>
      </c>
      <c r="G33" s="360">
        <v>3236.33</v>
      </c>
      <c r="H33" s="364">
        <f t="shared" ref="H33:I35" si="72">B33+D33+F33</f>
        <v>3493</v>
      </c>
      <c r="I33" s="364">
        <f t="shared" si="72"/>
        <v>15471.289999999999</v>
      </c>
      <c r="J33" s="188">
        <v>3000</v>
      </c>
      <c r="K33" s="188">
        <v>14700</v>
      </c>
      <c r="L33" s="127">
        <f t="shared" si="64"/>
        <v>-493</v>
      </c>
      <c r="M33" s="127">
        <f t="shared" si="64"/>
        <v>-771.28999999999905</v>
      </c>
      <c r="N33" s="126">
        <v>4147</v>
      </c>
      <c r="O33" s="126">
        <v>16334.400000000001</v>
      </c>
      <c r="P33" s="9">
        <f t="shared" si="48"/>
        <v>654</v>
      </c>
      <c r="Q33" s="9">
        <f t="shared" si="48"/>
        <v>863.1100000000024</v>
      </c>
      <c r="R33" s="368">
        <v>340</v>
      </c>
      <c r="S33" s="368">
        <v>1540.22</v>
      </c>
      <c r="T33" s="368">
        <v>54</v>
      </c>
      <c r="U33" s="368">
        <v>244.82</v>
      </c>
      <c r="V33" s="368">
        <v>16</v>
      </c>
      <c r="W33" s="368">
        <v>73.59</v>
      </c>
      <c r="X33" s="151">
        <f t="shared" ref="X33:Y35" si="73">R33+T33+V33</f>
        <v>410</v>
      </c>
      <c r="Y33" s="151">
        <f t="shared" si="73"/>
        <v>1858.6299999999999</v>
      </c>
      <c r="Z33" s="148">
        <v>890</v>
      </c>
      <c r="AA33" s="148">
        <v>4300</v>
      </c>
      <c r="AB33" s="153">
        <f t="shared" si="50"/>
        <v>480</v>
      </c>
      <c r="AC33" s="153">
        <f t="shared" si="50"/>
        <v>2441.37</v>
      </c>
      <c r="AD33" s="154">
        <v>1213</v>
      </c>
      <c r="AE33" s="154">
        <v>4755.7700000000004</v>
      </c>
      <c r="AF33" s="151">
        <f t="shared" si="51"/>
        <v>803</v>
      </c>
      <c r="AG33" s="151">
        <f t="shared" si="51"/>
        <v>2897.1400000000003</v>
      </c>
      <c r="AH33" s="155">
        <f t="shared" ref="AH33:AH35" si="74">H33+X33</f>
        <v>3903</v>
      </c>
      <c r="AI33" s="155">
        <f t="shared" ref="AI33:AI35" si="75">I33+Y33</f>
        <v>17329.919999999998</v>
      </c>
      <c r="AJ33" s="156">
        <v>5360</v>
      </c>
      <c r="AK33" s="156">
        <v>21090</v>
      </c>
      <c r="AL33" s="148">
        <f t="shared" ref="AL33" si="76">J33+Z33</f>
        <v>3890</v>
      </c>
      <c r="AM33" s="148">
        <f t="shared" ref="AM33" si="77">K33+AA33</f>
        <v>19000</v>
      </c>
      <c r="AN33" s="149">
        <f t="shared" si="55"/>
        <v>-13</v>
      </c>
      <c r="AO33" s="149">
        <f t="shared" si="55"/>
        <v>1670.0800000000017</v>
      </c>
      <c r="AP33" s="150">
        <f t="shared" si="56"/>
        <v>1457</v>
      </c>
      <c r="AQ33" s="150">
        <f t="shared" si="56"/>
        <v>3760.0800000000017</v>
      </c>
      <c r="AR33" s="368"/>
      <c r="AS33" s="368"/>
      <c r="AT33" s="368"/>
      <c r="AU33" s="368"/>
      <c r="AV33" s="368">
        <v>57</v>
      </c>
      <c r="AW33" s="368">
        <v>250.27</v>
      </c>
      <c r="AX33" s="148">
        <f t="shared" ref="AX33:AX42" si="78">AR33+AT33+AV33</f>
        <v>57</v>
      </c>
      <c r="AY33" s="148">
        <f t="shared" ref="AY33:AY42" si="79">AS33+AU33+AW33</f>
        <v>250.27</v>
      </c>
      <c r="AZ33" s="168">
        <f>30+30+50</f>
        <v>110</v>
      </c>
      <c r="BA33" s="168">
        <f>200+100+300</f>
        <v>600</v>
      </c>
      <c r="BB33" s="149">
        <f t="shared" ref="BB33:BB43" si="80">AZ33-AX33</f>
        <v>53</v>
      </c>
      <c r="BC33" s="149">
        <f t="shared" ref="BC33:BC43" si="81">BA33-AY33</f>
        <v>349.73</v>
      </c>
      <c r="BD33" s="148">
        <v>24</v>
      </c>
      <c r="BE33" s="210">
        <f t="shared" ref="BE33:BE43" si="82">BD33-AX33</f>
        <v>-33</v>
      </c>
      <c r="BF33" s="148">
        <f t="shared" ref="BF33:BF43" si="83">AH33+AX33</f>
        <v>3960</v>
      </c>
      <c r="BG33" s="148">
        <f t="shared" ref="BG33:BG43" si="84">AI33+AY33</f>
        <v>17580.189999999999</v>
      </c>
      <c r="BH33" s="209">
        <v>5384</v>
      </c>
      <c r="BI33" s="150">
        <f t="shared" ref="BI33:BI43" si="85">AL33+AZ33</f>
        <v>4000</v>
      </c>
      <c r="BJ33" s="150">
        <f t="shared" ref="BJ33:BJ43" si="86">AM33+BA33</f>
        <v>19600</v>
      </c>
      <c r="BK33" s="153">
        <f t="shared" ref="BK33:BK43" si="87">BI33-BF33</f>
        <v>40</v>
      </c>
      <c r="BL33" s="153">
        <f t="shared" ref="BL33:BL43" si="88">BJ33-BG33</f>
        <v>2019.8100000000013</v>
      </c>
      <c r="BM33" s="210">
        <f t="shared" ref="BM33:BM43" si="89">BH33-BF33</f>
        <v>1424</v>
      </c>
      <c r="BN33" s="368">
        <v>148</v>
      </c>
      <c r="BO33" s="372">
        <v>643.30999999999995</v>
      </c>
      <c r="BP33" s="216">
        <v>1544</v>
      </c>
      <c r="BQ33" s="216">
        <v>7737.5</v>
      </c>
      <c r="BR33" s="216">
        <v>1016</v>
      </c>
      <c r="BS33" s="216">
        <v>4263.8100000000004</v>
      </c>
      <c r="BT33" s="216">
        <f t="shared" ref="BT33:BU35" si="90">BN33+BP33+BR33</f>
        <v>2708</v>
      </c>
      <c r="BU33" s="216">
        <f t="shared" si="90"/>
        <v>12644.619999999999</v>
      </c>
      <c r="BV33" s="216">
        <v>2000</v>
      </c>
      <c r="BW33" s="216">
        <v>9900</v>
      </c>
      <c r="BX33" s="216">
        <f t="shared" ref="BX33:BY35" si="91">BV33-BT33</f>
        <v>-708</v>
      </c>
      <c r="BY33" s="216">
        <f t="shared" si="91"/>
        <v>-2744.619999999999</v>
      </c>
      <c r="BZ33" s="216">
        <v>1958</v>
      </c>
      <c r="CA33" s="374">
        <f>B33+D33+F33+R33+T33+V33+AR33+AT33+AV33+BN33+BP33+BR33</f>
        <v>6668</v>
      </c>
      <c r="CB33" s="374">
        <f>C33+E33+G33+S33+U33+W33+AS33+AU33+AW33+BO33+BQ33+BS33</f>
        <v>30224.81</v>
      </c>
      <c r="CC33" s="216">
        <v>6000</v>
      </c>
      <c r="CD33" s="216">
        <v>29500</v>
      </c>
      <c r="CE33" s="216">
        <f t="shared" ref="CE33:CF35" si="92">CC33-CA33</f>
        <v>-668</v>
      </c>
      <c r="CF33" s="216">
        <f t="shared" si="92"/>
        <v>-724.81000000000131</v>
      </c>
      <c r="CG33" s="230">
        <v>7342</v>
      </c>
      <c r="CH33" s="228">
        <v>9043</v>
      </c>
    </row>
    <row r="34" spans="1:95" ht="16.5" thickBot="1" x14ac:dyDescent="0.3">
      <c r="A34" s="29" t="s">
        <v>34</v>
      </c>
      <c r="B34" s="360">
        <v>308</v>
      </c>
      <c r="C34" s="360">
        <v>1155.28</v>
      </c>
      <c r="D34" s="360">
        <v>499</v>
      </c>
      <c r="E34" s="360">
        <v>1863.79</v>
      </c>
      <c r="F34" s="360">
        <v>296</v>
      </c>
      <c r="G34" s="360">
        <v>1119.0899999999999</v>
      </c>
      <c r="H34" s="364">
        <f t="shared" si="72"/>
        <v>1103</v>
      </c>
      <c r="I34" s="364">
        <f t="shared" si="72"/>
        <v>4138.16</v>
      </c>
      <c r="J34" s="188">
        <v>1100</v>
      </c>
      <c r="K34" s="188">
        <v>5400</v>
      </c>
      <c r="L34" s="127">
        <f t="shared" si="64"/>
        <v>-3</v>
      </c>
      <c r="M34" s="127">
        <f t="shared" si="64"/>
        <v>1261.8400000000001</v>
      </c>
      <c r="N34" s="126">
        <v>999</v>
      </c>
      <c r="O34" s="126">
        <v>3402.1600000000003</v>
      </c>
      <c r="P34" s="9">
        <f t="shared" si="48"/>
        <v>-104</v>
      </c>
      <c r="Q34" s="9">
        <f t="shared" si="48"/>
        <v>-735.99999999999955</v>
      </c>
      <c r="R34" s="368">
        <v>217</v>
      </c>
      <c r="S34" s="368">
        <v>838.76</v>
      </c>
      <c r="T34" s="368">
        <v>268</v>
      </c>
      <c r="U34" s="368">
        <v>1036.8699999999999</v>
      </c>
      <c r="V34" s="368">
        <v>139</v>
      </c>
      <c r="W34" s="368">
        <v>546.88</v>
      </c>
      <c r="X34" s="151">
        <f t="shared" si="73"/>
        <v>624</v>
      </c>
      <c r="Y34" s="151">
        <f t="shared" si="73"/>
        <v>2422.5099999999998</v>
      </c>
      <c r="Z34" s="148">
        <v>700</v>
      </c>
      <c r="AA34" s="148">
        <v>3500</v>
      </c>
      <c r="AB34" s="153">
        <f t="shared" si="50"/>
        <v>76</v>
      </c>
      <c r="AC34" s="153">
        <f t="shared" si="50"/>
        <v>1077.4900000000002</v>
      </c>
      <c r="AD34" s="154">
        <v>535</v>
      </c>
      <c r="AE34" s="154">
        <v>1847.58</v>
      </c>
      <c r="AF34" s="151">
        <f t="shared" si="51"/>
        <v>-89</v>
      </c>
      <c r="AG34" s="151">
        <f t="shared" si="51"/>
        <v>-574.92999999999984</v>
      </c>
      <c r="AH34" s="155">
        <f t="shared" si="74"/>
        <v>1727</v>
      </c>
      <c r="AI34" s="155">
        <f t="shared" si="75"/>
        <v>6560.67</v>
      </c>
      <c r="AJ34" s="156">
        <v>1534</v>
      </c>
      <c r="AK34" s="156">
        <v>5250</v>
      </c>
      <c r="AL34" s="148">
        <f t="shared" ref="AL34:AL35" si="93">J34+Z34</f>
        <v>1800</v>
      </c>
      <c r="AM34" s="148">
        <f t="shared" ref="AM34:AM35" si="94">K34+AA34</f>
        <v>8900</v>
      </c>
      <c r="AN34" s="149">
        <f t="shared" si="55"/>
        <v>73</v>
      </c>
      <c r="AO34" s="149">
        <f t="shared" si="55"/>
        <v>2339.33</v>
      </c>
      <c r="AP34" s="150">
        <f t="shared" si="56"/>
        <v>-193</v>
      </c>
      <c r="AQ34" s="150">
        <f t="shared" si="56"/>
        <v>-1310.67</v>
      </c>
      <c r="AR34" s="368"/>
      <c r="AS34" s="368"/>
      <c r="AT34" s="368"/>
      <c r="AU34" s="368"/>
      <c r="AV34" s="368">
        <v>583</v>
      </c>
      <c r="AW34" s="368">
        <v>2173.04</v>
      </c>
      <c r="AX34" s="148">
        <f t="shared" si="78"/>
        <v>583</v>
      </c>
      <c r="AY34" s="148">
        <f t="shared" si="79"/>
        <v>2173.04</v>
      </c>
      <c r="AZ34" s="168">
        <f>150+200+250</f>
        <v>600</v>
      </c>
      <c r="BA34" s="168">
        <f>700+100+1200</f>
        <v>2000</v>
      </c>
      <c r="BB34" s="149">
        <f t="shared" si="80"/>
        <v>17</v>
      </c>
      <c r="BC34" s="149">
        <f t="shared" si="81"/>
        <v>-173.03999999999996</v>
      </c>
      <c r="BD34" s="148">
        <v>541</v>
      </c>
      <c r="BE34" s="210">
        <f t="shared" si="82"/>
        <v>-42</v>
      </c>
      <c r="BF34" s="148">
        <f t="shared" si="83"/>
        <v>2310</v>
      </c>
      <c r="BG34" s="148">
        <f t="shared" si="84"/>
        <v>8733.7099999999991</v>
      </c>
      <c r="BH34" s="209">
        <v>2075</v>
      </c>
      <c r="BI34" s="150">
        <f t="shared" si="85"/>
        <v>2400</v>
      </c>
      <c r="BJ34" s="150">
        <f t="shared" si="86"/>
        <v>10900</v>
      </c>
      <c r="BK34" s="153">
        <f t="shared" si="87"/>
        <v>90</v>
      </c>
      <c r="BL34" s="153">
        <f t="shared" si="88"/>
        <v>2166.2900000000009</v>
      </c>
      <c r="BM34" s="210">
        <f t="shared" si="89"/>
        <v>-235</v>
      </c>
      <c r="BN34" s="368">
        <v>411</v>
      </c>
      <c r="BO34" s="372">
        <v>1513.27</v>
      </c>
      <c r="BP34" s="216">
        <v>414</v>
      </c>
      <c r="BQ34" s="216">
        <v>1749.93</v>
      </c>
      <c r="BR34" s="216">
        <v>364</v>
      </c>
      <c r="BS34" s="216">
        <v>1296.19</v>
      </c>
      <c r="BT34" s="216">
        <f t="shared" si="90"/>
        <v>1189</v>
      </c>
      <c r="BU34" s="216">
        <f t="shared" si="90"/>
        <v>4559.3899999999994</v>
      </c>
      <c r="BV34" s="216">
        <v>1100</v>
      </c>
      <c r="BW34" s="216">
        <v>5500</v>
      </c>
      <c r="BX34" s="216">
        <f t="shared" si="91"/>
        <v>-89</v>
      </c>
      <c r="BY34" s="216">
        <f t="shared" si="91"/>
        <v>940.61000000000058</v>
      </c>
      <c r="BZ34" s="216">
        <v>952</v>
      </c>
      <c r="CA34" s="374">
        <f>B34+D34+F34+R34+T34+V34+AR34+AT34+AV34+BN34+BP34+BR34</f>
        <v>3499</v>
      </c>
      <c r="CB34" s="374">
        <f>C34+E34+G34+S34+U34+W34+AS34+AU34+AW34+BQ34+BS34+BO34</f>
        <v>13293.1</v>
      </c>
      <c r="CC34" s="216">
        <v>3500</v>
      </c>
      <c r="CD34" s="216">
        <v>17300</v>
      </c>
      <c r="CE34" s="216">
        <f t="shared" si="92"/>
        <v>1</v>
      </c>
      <c r="CF34" s="216">
        <f t="shared" si="92"/>
        <v>4006.8999999999996</v>
      </c>
      <c r="CG34" s="230">
        <v>3027</v>
      </c>
      <c r="CH34" s="228">
        <v>3380</v>
      </c>
    </row>
    <row r="35" spans="1:95" ht="16.5" thickBot="1" x14ac:dyDescent="0.3">
      <c r="A35" s="29" t="s">
        <v>35</v>
      </c>
      <c r="B35" s="360">
        <v>150</v>
      </c>
      <c r="C35" s="360">
        <v>666.18</v>
      </c>
      <c r="D35" s="360">
        <v>210</v>
      </c>
      <c r="E35" s="360">
        <v>923.08</v>
      </c>
      <c r="F35" s="360">
        <v>250</v>
      </c>
      <c r="G35" s="360">
        <v>1111.3800000000001</v>
      </c>
      <c r="H35" s="364">
        <f t="shared" si="72"/>
        <v>610</v>
      </c>
      <c r="I35" s="364">
        <f t="shared" si="72"/>
        <v>2700.6400000000003</v>
      </c>
      <c r="J35" s="188">
        <v>600</v>
      </c>
      <c r="K35" s="188">
        <v>3000</v>
      </c>
      <c r="L35" s="127">
        <f t="shared" si="64"/>
        <v>-10</v>
      </c>
      <c r="M35" s="127">
        <f t="shared" si="64"/>
        <v>299.35999999999967</v>
      </c>
      <c r="N35" s="126">
        <v>450</v>
      </c>
      <c r="O35" s="126">
        <v>1774.92</v>
      </c>
      <c r="P35" s="9">
        <f t="shared" si="48"/>
        <v>-160</v>
      </c>
      <c r="Q35" s="9">
        <f t="shared" si="48"/>
        <v>-925.72000000000025</v>
      </c>
      <c r="R35" s="368">
        <v>277</v>
      </c>
      <c r="S35" s="368">
        <v>1254.82</v>
      </c>
      <c r="T35" s="368">
        <v>200</v>
      </c>
      <c r="U35" s="368">
        <v>906.74</v>
      </c>
      <c r="V35" s="368">
        <v>100</v>
      </c>
      <c r="W35" s="368">
        <v>459.93</v>
      </c>
      <c r="X35" s="151">
        <f t="shared" si="73"/>
        <v>577</v>
      </c>
      <c r="Y35" s="151">
        <f t="shared" si="73"/>
        <v>2621.49</v>
      </c>
      <c r="Z35" s="148">
        <v>350</v>
      </c>
      <c r="AA35" s="148">
        <v>1700</v>
      </c>
      <c r="AB35" s="153">
        <f t="shared" si="50"/>
        <v>-227</v>
      </c>
      <c r="AC35" s="153">
        <f t="shared" si="50"/>
        <v>-921.48999999999978</v>
      </c>
      <c r="AD35" s="154">
        <v>454</v>
      </c>
      <c r="AE35" s="154">
        <v>1817.04</v>
      </c>
      <c r="AF35" s="151">
        <f t="shared" si="51"/>
        <v>-123</v>
      </c>
      <c r="AG35" s="151">
        <f t="shared" si="51"/>
        <v>-804.44999999999982</v>
      </c>
      <c r="AH35" s="155">
        <f t="shared" si="74"/>
        <v>1187</v>
      </c>
      <c r="AI35" s="155">
        <f t="shared" si="75"/>
        <v>5322.13</v>
      </c>
      <c r="AJ35" s="156">
        <v>904</v>
      </c>
      <c r="AK35" s="156">
        <v>3592</v>
      </c>
      <c r="AL35" s="148">
        <f t="shared" si="93"/>
        <v>950</v>
      </c>
      <c r="AM35" s="148">
        <f t="shared" si="94"/>
        <v>4700</v>
      </c>
      <c r="AN35" s="149">
        <f t="shared" si="55"/>
        <v>-237</v>
      </c>
      <c r="AO35" s="149">
        <f t="shared" si="55"/>
        <v>-622.13000000000011</v>
      </c>
      <c r="AP35" s="150">
        <f t="shared" si="56"/>
        <v>-283</v>
      </c>
      <c r="AQ35" s="150">
        <f t="shared" si="56"/>
        <v>-1730.13</v>
      </c>
      <c r="AR35" s="368"/>
      <c r="AS35" s="368"/>
      <c r="AT35" s="368"/>
      <c r="AU35" s="368"/>
      <c r="AV35" s="368">
        <v>402</v>
      </c>
      <c r="AW35" s="368">
        <v>1771.15</v>
      </c>
      <c r="AX35" s="148">
        <f t="shared" si="78"/>
        <v>402</v>
      </c>
      <c r="AY35" s="148">
        <f t="shared" si="79"/>
        <v>1771.15</v>
      </c>
      <c r="AZ35" s="168">
        <f>300</f>
        <v>300</v>
      </c>
      <c r="BA35" s="168">
        <v>1500</v>
      </c>
      <c r="BB35" s="149">
        <f t="shared" si="80"/>
        <v>-102</v>
      </c>
      <c r="BC35" s="149">
        <f t="shared" si="81"/>
        <v>-271.15000000000009</v>
      </c>
      <c r="BD35" s="148">
        <v>256</v>
      </c>
      <c r="BE35" s="210">
        <f t="shared" si="82"/>
        <v>-146</v>
      </c>
      <c r="BF35" s="148">
        <f t="shared" si="83"/>
        <v>1589</v>
      </c>
      <c r="BG35" s="148">
        <f t="shared" si="84"/>
        <v>7093.2800000000007</v>
      </c>
      <c r="BH35" s="209">
        <v>1160</v>
      </c>
      <c r="BI35" s="150">
        <f t="shared" si="85"/>
        <v>1250</v>
      </c>
      <c r="BJ35" s="150">
        <f t="shared" si="86"/>
        <v>6200</v>
      </c>
      <c r="BK35" s="153">
        <f t="shared" si="87"/>
        <v>-339</v>
      </c>
      <c r="BL35" s="153">
        <f t="shared" si="88"/>
        <v>-893.28000000000065</v>
      </c>
      <c r="BM35" s="210">
        <f t="shared" si="89"/>
        <v>-429</v>
      </c>
      <c r="BN35" s="368">
        <v>198</v>
      </c>
      <c r="BO35" s="372">
        <v>860.66</v>
      </c>
      <c r="BP35" s="216">
        <v>213</v>
      </c>
      <c r="BQ35" s="216">
        <v>1067.4100000000001</v>
      </c>
      <c r="BR35" s="216">
        <v>173</v>
      </c>
      <c r="BS35" s="216">
        <v>726.02</v>
      </c>
      <c r="BT35" s="216">
        <f t="shared" si="90"/>
        <v>584</v>
      </c>
      <c r="BU35" s="216">
        <f t="shared" si="90"/>
        <v>2654.09</v>
      </c>
      <c r="BV35" s="216">
        <v>750</v>
      </c>
      <c r="BW35" s="216">
        <v>3700</v>
      </c>
      <c r="BX35" s="216">
        <f t="shared" si="91"/>
        <v>166</v>
      </c>
      <c r="BY35" s="216">
        <f t="shared" si="91"/>
        <v>1045.9099999999999</v>
      </c>
      <c r="BZ35" s="216">
        <v>553</v>
      </c>
      <c r="CA35" s="374">
        <f>B35+D35+F35+R35+T35+V35+AR35+AT35+AV35+BN35+BP35+BR35</f>
        <v>2173</v>
      </c>
      <c r="CB35" s="374">
        <f>C35+E35+G35+S35+U35+W35+AS35+AU35+AW35+BO35+BQ35+BS35</f>
        <v>9747.3700000000008</v>
      </c>
      <c r="CC35" s="216">
        <v>2000</v>
      </c>
      <c r="CD35" s="216">
        <v>9900</v>
      </c>
      <c r="CE35" s="216">
        <f t="shared" si="92"/>
        <v>-173</v>
      </c>
      <c r="CF35" s="216">
        <f t="shared" si="92"/>
        <v>152.6299999999992</v>
      </c>
      <c r="CG35" s="230">
        <v>1713</v>
      </c>
      <c r="CH35" s="228">
        <v>3336</v>
      </c>
    </row>
    <row r="36" spans="1:95" ht="16.5" thickBot="1" x14ac:dyDescent="0.3">
      <c r="A36" s="29" t="s">
        <v>36</v>
      </c>
      <c r="B36" s="360"/>
      <c r="C36" s="360"/>
      <c r="D36" s="360"/>
      <c r="E36" s="360"/>
      <c r="F36" s="360"/>
      <c r="G36" s="360"/>
      <c r="H36" s="364"/>
      <c r="I36" s="364"/>
      <c r="J36" s="188"/>
      <c r="K36" s="188"/>
      <c r="L36" s="127">
        <f t="shared" ref="L36:M50" si="95">J36-B36</f>
        <v>0</v>
      </c>
      <c r="M36" s="127">
        <f t="shared" si="95"/>
        <v>0</v>
      </c>
      <c r="N36" s="126">
        <v>0</v>
      </c>
      <c r="O36" s="126">
        <v>0</v>
      </c>
      <c r="P36" s="9"/>
      <c r="Q36" s="9"/>
      <c r="R36" s="368"/>
      <c r="S36" s="368"/>
      <c r="T36" s="368"/>
      <c r="U36" s="368"/>
      <c r="V36" s="368"/>
      <c r="W36" s="368"/>
      <c r="X36" s="151"/>
      <c r="Y36" s="151"/>
      <c r="Z36" s="148"/>
      <c r="AA36" s="148"/>
      <c r="AB36" s="153">
        <f t="shared" ref="AB36:AC39" si="96">Z36-R36</f>
        <v>0</v>
      </c>
      <c r="AC36" s="153">
        <f t="shared" si="96"/>
        <v>0</v>
      </c>
      <c r="AD36" s="154">
        <v>0</v>
      </c>
      <c r="AE36" s="154">
        <v>0</v>
      </c>
      <c r="AF36" s="151"/>
      <c r="AG36" s="151"/>
      <c r="AH36" s="155"/>
      <c r="AI36" s="155"/>
      <c r="AJ36" s="156"/>
      <c r="AK36" s="156"/>
      <c r="AL36" s="148"/>
      <c r="AM36" s="148"/>
      <c r="AN36" s="149"/>
      <c r="AO36" s="149"/>
      <c r="AP36" s="150"/>
      <c r="AQ36" s="150"/>
      <c r="AR36" s="368"/>
      <c r="AS36" s="368"/>
      <c r="AT36" s="368"/>
      <c r="AU36" s="368"/>
      <c r="AV36" s="368"/>
      <c r="AW36" s="368"/>
      <c r="AX36" s="148">
        <f t="shared" si="78"/>
        <v>0</v>
      </c>
      <c r="AY36" s="148">
        <f t="shared" si="79"/>
        <v>0</v>
      </c>
      <c r="AZ36" s="168">
        <v>0</v>
      </c>
      <c r="BA36" s="168">
        <v>0</v>
      </c>
      <c r="BB36" s="149">
        <f t="shared" si="80"/>
        <v>0</v>
      </c>
      <c r="BC36" s="149">
        <f t="shared" si="81"/>
        <v>0</v>
      </c>
      <c r="BD36" s="148"/>
      <c r="BE36" s="210">
        <f t="shared" si="82"/>
        <v>0</v>
      </c>
      <c r="BF36" s="148">
        <f t="shared" si="83"/>
        <v>0</v>
      </c>
      <c r="BG36" s="148">
        <f t="shared" si="84"/>
        <v>0</v>
      </c>
      <c r="BH36" s="209"/>
      <c r="BI36" s="150">
        <f t="shared" si="85"/>
        <v>0</v>
      </c>
      <c r="BJ36" s="150">
        <f t="shared" si="86"/>
        <v>0</v>
      </c>
      <c r="BK36" s="153">
        <f t="shared" si="87"/>
        <v>0</v>
      </c>
      <c r="BL36" s="153">
        <f t="shared" si="88"/>
        <v>0</v>
      </c>
      <c r="BM36" s="210">
        <f t="shared" si="89"/>
        <v>0</v>
      </c>
      <c r="BN36" s="368"/>
      <c r="BO36" s="372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374"/>
      <c r="CB36" s="374"/>
      <c r="CC36" s="216"/>
      <c r="CD36" s="216"/>
      <c r="CE36" s="216"/>
      <c r="CF36" s="216"/>
      <c r="CG36" s="230"/>
      <c r="CH36" s="228"/>
    </row>
    <row r="37" spans="1:95" ht="16.5" thickBot="1" x14ac:dyDescent="0.3">
      <c r="A37" s="29" t="s">
        <v>37</v>
      </c>
      <c r="B37" s="360"/>
      <c r="C37" s="360"/>
      <c r="D37" s="360"/>
      <c r="E37" s="360"/>
      <c r="F37" s="360"/>
      <c r="G37" s="360"/>
      <c r="H37" s="364"/>
      <c r="I37" s="364"/>
      <c r="J37" s="188"/>
      <c r="K37" s="188"/>
      <c r="L37" s="127">
        <f t="shared" si="95"/>
        <v>0</v>
      </c>
      <c r="M37" s="127">
        <f t="shared" si="95"/>
        <v>0</v>
      </c>
      <c r="N37" s="126">
        <v>0</v>
      </c>
      <c r="O37" s="126">
        <v>0</v>
      </c>
      <c r="P37" s="9"/>
      <c r="Q37" s="9"/>
      <c r="R37" s="368"/>
      <c r="S37" s="368"/>
      <c r="T37" s="368"/>
      <c r="U37" s="368"/>
      <c r="V37" s="368"/>
      <c r="W37" s="368"/>
      <c r="X37" s="151"/>
      <c r="Y37" s="151"/>
      <c r="Z37" s="148"/>
      <c r="AA37" s="148"/>
      <c r="AB37" s="153">
        <f t="shared" si="96"/>
        <v>0</v>
      </c>
      <c r="AC37" s="153">
        <f t="shared" si="96"/>
        <v>0</v>
      </c>
      <c r="AD37" s="154">
        <v>0</v>
      </c>
      <c r="AE37" s="154">
        <v>0</v>
      </c>
      <c r="AF37" s="151"/>
      <c r="AG37" s="151"/>
      <c r="AH37" s="155"/>
      <c r="AI37" s="155"/>
      <c r="AJ37" s="156"/>
      <c r="AK37" s="156"/>
      <c r="AL37" s="148"/>
      <c r="AM37" s="148"/>
      <c r="AN37" s="149"/>
      <c r="AO37" s="149"/>
      <c r="AP37" s="150"/>
      <c r="AQ37" s="150"/>
      <c r="AR37" s="368"/>
      <c r="AS37" s="368"/>
      <c r="AT37" s="368"/>
      <c r="AU37" s="368"/>
      <c r="AV37" s="368"/>
      <c r="AW37" s="368"/>
      <c r="AX37" s="148">
        <f t="shared" si="78"/>
        <v>0</v>
      </c>
      <c r="AY37" s="148">
        <f t="shared" si="79"/>
        <v>0</v>
      </c>
      <c r="AZ37" s="168"/>
      <c r="BA37" s="168"/>
      <c r="BB37" s="149">
        <f t="shared" si="80"/>
        <v>0</v>
      </c>
      <c r="BC37" s="149">
        <f t="shared" si="81"/>
        <v>0</v>
      </c>
      <c r="BD37" s="148"/>
      <c r="BE37" s="210">
        <f t="shared" si="82"/>
        <v>0</v>
      </c>
      <c r="BF37" s="148">
        <f t="shared" si="83"/>
        <v>0</v>
      </c>
      <c r="BG37" s="148">
        <f t="shared" si="84"/>
        <v>0</v>
      </c>
      <c r="BH37" s="209"/>
      <c r="BI37" s="150">
        <f t="shared" si="85"/>
        <v>0</v>
      </c>
      <c r="BJ37" s="150">
        <f t="shared" si="86"/>
        <v>0</v>
      </c>
      <c r="BK37" s="153">
        <f t="shared" si="87"/>
        <v>0</v>
      </c>
      <c r="BL37" s="153">
        <f t="shared" si="88"/>
        <v>0</v>
      </c>
      <c r="BM37" s="210">
        <f t="shared" si="89"/>
        <v>0</v>
      </c>
      <c r="BN37" s="368"/>
      <c r="BO37" s="372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374"/>
      <c r="CB37" s="374"/>
      <c r="CC37" s="216"/>
      <c r="CD37" s="216"/>
      <c r="CE37" s="216"/>
      <c r="CF37" s="216"/>
      <c r="CG37" s="230"/>
      <c r="CH37" s="228">
        <v>474</v>
      </c>
    </row>
    <row r="38" spans="1:95" ht="16.5" thickBot="1" x14ac:dyDescent="0.3">
      <c r="A38" s="29" t="s">
        <v>38</v>
      </c>
      <c r="B38" s="360"/>
      <c r="C38" s="360"/>
      <c r="D38" s="360"/>
      <c r="E38" s="360"/>
      <c r="F38" s="360"/>
      <c r="G38" s="360"/>
      <c r="H38" s="364"/>
      <c r="I38" s="364"/>
      <c r="J38" s="188"/>
      <c r="K38" s="188"/>
      <c r="L38" s="127">
        <f t="shared" si="95"/>
        <v>0</v>
      </c>
      <c r="M38" s="127">
        <f t="shared" si="95"/>
        <v>0</v>
      </c>
      <c r="N38" s="126">
        <v>0</v>
      </c>
      <c r="O38" s="126">
        <v>0</v>
      </c>
      <c r="P38" s="9"/>
      <c r="Q38" s="9"/>
      <c r="R38" s="368"/>
      <c r="S38" s="368"/>
      <c r="T38" s="368"/>
      <c r="U38" s="368"/>
      <c r="V38" s="368"/>
      <c r="W38" s="368"/>
      <c r="X38" s="151"/>
      <c r="Y38" s="151"/>
      <c r="Z38" s="148"/>
      <c r="AA38" s="148"/>
      <c r="AB38" s="153">
        <f t="shared" si="96"/>
        <v>0</v>
      </c>
      <c r="AC38" s="153">
        <f t="shared" si="96"/>
        <v>0</v>
      </c>
      <c r="AD38" s="154">
        <v>0</v>
      </c>
      <c r="AE38" s="154">
        <v>0</v>
      </c>
      <c r="AF38" s="151"/>
      <c r="AG38" s="151"/>
      <c r="AH38" s="155"/>
      <c r="AI38" s="155"/>
      <c r="AJ38" s="156"/>
      <c r="AK38" s="156"/>
      <c r="AL38" s="148"/>
      <c r="AM38" s="148"/>
      <c r="AN38" s="149"/>
      <c r="AO38" s="149"/>
      <c r="AP38" s="150"/>
      <c r="AQ38" s="150"/>
      <c r="AR38" s="368"/>
      <c r="AS38" s="368"/>
      <c r="AT38" s="368"/>
      <c r="AU38" s="368"/>
      <c r="AV38" s="368"/>
      <c r="AW38" s="368"/>
      <c r="AX38" s="148">
        <f t="shared" si="78"/>
        <v>0</v>
      </c>
      <c r="AY38" s="148">
        <f t="shared" si="79"/>
        <v>0</v>
      </c>
      <c r="AZ38" s="168"/>
      <c r="BA38" s="168"/>
      <c r="BB38" s="149">
        <f t="shared" si="80"/>
        <v>0</v>
      </c>
      <c r="BC38" s="149">
        <f t="shared" si="81"/>
        <v>0</v>
      </c>
      <c r="BD38" s="148"/>
      <c r="BE38" s="210">
        <f t="shared" si="82"/>
        <v>0</v>
      </c>
      <c r="BF38" s="148">
        <f t="shared" si="83"/>
        <v>0</v>
      </c>
      <c r="BG38" s="148">
        <f t="shared" si="84"/>
        <v>0</v>
      </c>
      <c r="BH38" s="209"/>
      <c r="BI38" s="150">
        <f t="shared" si="85"/>
        <v>0</v>
      </c>
      <c r="BJ38" s="150">
        <f t="shared" si="86"/>
        <v>0</v>
      </c>
      <c r="BK38" s="153">
        <f t="shared" si="87"/>
        <v>0</v>
      </c>
      <c r="BL38" s="153">
        <f t="shared" si="88"/>
        <v>0</v>
      </c>
      <c r="BM38" s="210">
        <f t="shared" si="89"/>
        <v>0</v>
      </c>
      <c r="BN38" s="368"/>
      <c r="BO38" s="372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374"/>
      <c r="CB38" s="374"/>
      <c r="CC38" s="216"/>
      <c r="CD38" s="216"/>
      <c r="CE38" s="216"/>
      <c r="CF38" s="216"/>
      <c r="CG38" s="230"/>
      <c r="CH38" s="228"/>
    </row>
    <row r="39" spans="1:95" ht="16.5" thickBot="1" x14ac:dyDescent="0.3">
      <c r="A39" s="29" t="s">
        <v>39</v>
      </c>
      <c r="B39" s="360"/>
      <c r="C39" s="360"/>
      <c r="D39" s="360"/>
      <c r="E39" s="360"/>
      <c r="F39" s="360"/>
      <c r="G39" s="360"/>
      <c r="H39" s="364"/>
      <c r="I39" s="364"/>
      <c r="J39" s="188"/>
      <c r="K39" s="188"/>
      <c r="L39" s="127">
        <f t="shared" si="95"/>
        <v>0</v>
      </c>
      <c r="M39" s="127">
        <f t="shared" si="95"/>
        <v>0</v>
      </c>
      <c r="N39" s="126">
        <v>0</v>
      </c>
      <c r="O39" s="126">
        <v>0</v>
      </c>
      <c r="P39" s="9"/>
      <c r="Q39" s="9"/>
      <c r="R39" s="368"/>
      <c r="S39" s="368"/>
      <c r="T39" s="368"/>
      <c r="U39" s="368"/>
      <c r="V39" s="368"/>
      <c r="W39" s="368"/>
      <c r="X39" s="151"/>
      <c r="Y39" s="151"/>
      <c r="Z39" s="148"/>
      <c r="AA39" s="148"/>
      <c r="AB39" s="153">
        <f t="shared" si="96"/>
        <v>0</v>
      </c>
      <c r="AC39" s="153">
        <f t="shared" si="96"/>
        <v>0</v>
      </c>
      <c r="AD39" s="154">
        <v>0</v>
      </c>
      <c r="AE39" s="154">
        <v>0</v>
      </c>
      <c r="AF39" s="151"/>
      <c r="AG39" s="151"/>
      <c r="AH39" s="155"/>
      <c r="AI39" s="155"/>
      <c r="AJ39" s="156"/>
      <c r="AK39" s="156"/>
      <c r="AL39" s="148"/>
      <c r="AM39" s="148"/>
      <c r="AN39" s="149"/>
      <c r="AO39" s="149"/>
      <c r="AP39" s="150"/>
      <c r="AQ39" s="150"/>
      <c r="AR39" s="368"/>
      <c r="AS39" s="368"/>
      <c r="AT39" s="368"/>
      <c r="AU39" s="368"/>
      <c r="AV39" s="368"/>
      <c r="AW39" s="368"/>
      <c r="AX39" s="148">
        <f t="shared" si="78"/>
        <v>0</v>
      </c>
      <c r="AY39" s="148">
        <f t="shared" si="79"/>
        <v>0</v>
      </c>
      <c r="AZ39" s="168"/>
      <c r="BA39" s="168"/>
      <c r="BB39" s="149">
        <f t="shared" si="80"/>
        <v>0</v>
      </c>
      <c r="BC39" s="149">
        <f t="shared" si="81"/>
        <v>0</v>
      </c>
      <c r="BD39" s="148"/>
      <c r="BE39" s="210">
        <f t="shared" si="82"/>
        <v>0</v>
      </c>
      <c r="BF39" s="148">
        <f t="shared" si="83"/>
        <v>0</v>
      </c>
      <c r="BG39" s="148">
        <f t="shared" si="84"/>
        <v>0</v>
      </c>
      <c r="BH39" s="209"/>
      <c r="BI39" s="150">
        <f t="shared" si="85"/>
        <v>0</v>
      </c>
      <c r="BJ39" s="150">
        <f t="shared" si="86"/>
        <v>0</v>
      </c>
      <c r="BK39" s="153">
        <f t="shared" si="87"/>
        <v>0</v>
      </c>
      <c r="BL39" s="153">
        <f t="shared" si="88"/>
        <v>0</v>
      </c>
      <c r="BM39" s="210">
        <f t="shared" si="89"/>
        <v>0</v>
      </c>
      <c r="BN39" s="368"/>
      <c r="BO39" s="372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374"/>
      <c r="CB39" s="374"/>
      <c r="CC39" s="216"/>
      <c r="CD39" s="216"/>
      <c r="CE39" s="216"/>
      <c r="CF39" s="216"/>
      <c r="CG39" s="230"/>
      <c r="CH39" s="228"/>
    </row>
    <row r="40" spans="1:95" ht="16.5" thickBot="1" x14ac:dyDescent="0.3">
      <c r="A40" s="29" t="s">
        <v>40</v>
      </c>
      <c r="B40" s="360">
        <v>20</v>
      </c>
      <c r="C40" s="360">
        <v>88.82</v>
      </c>
      <c r="D40" s="360">
        <v>60</v>
      </c>
      <c r="E40" s="360">
        <v>263.74</v>
      </c>
      <c r="F40" s="360">
        <v>25</v>
      </c>
      <c r="G40" s="360">
        <v>111.13</v>
      </c>
      <c r="H40" s="364">
        <f t="shared" ref="H40:I42" si="97">B40+D40+F40</f>
        <v>105</v>
      </c>
      <c r="I40" s="364">
        <f t="shared" si="97"/>
        <v>463.69</v>
      </c>
      <c r="J40" s="188">
        <v>110</v>
      </c>
      <c r="K40" s="188">
        <v>500</v>
      </c>
      <c r="L40" s="127">
        <f t="shared" ref="L40:M42" si="98">J40-H40</f>
        <v>5</v>
      </c>
      <c r="M40" s="127">
        <f t="shared" si="98"/>
        <v>36.31</v>
      </c>
      <c r="N40" s="126">
        <v>150</v>
      </c>
      <c r="O40" s="126">
        <v>598.25</v>
      </c>
      <c r="P40" s="9">
        <f t="shared" ref="P40:Q42" si="99">N40-H40</f>
        <v>45</v>
      </c>
      <c r="Q40" s="9">
        <f t="shared" si="99"/>
        <v>134.56</v>
      </c>
      <c r="R40" s="368">
        <v>28</v>
      </c>
      <c r="S40" s="368">
        <v>126.84</v>
      </c>
      <c r="T40" s="368">
        <v>19</v>
      </c>
      <c r="U40" s="368">
        <v>86.14</v>
      </c>
      <c r="V40" s="368">
        <v>19</v>
      </c>
      <c r="W40" s="368">
        <v>87.39</v>
      </c>
      <c r="X40" s="151">
        <f t="shared" ref="X40:Y42" si="100">R40+T40+V40</f>
        <v>66</v>
      </c>
      <c r="Y40" s="151">
        <f t="shared" si="100"/>
        <v>300.37</v>
      </c>
      <c r="Z40" s="148">
        <v>90</v>
      </c>
      <c r="AA40" s="148">
        <v>500</v>
      </c>
      <c r="AB40" s="153">
        <f t="shared" ref="AB40:AC42" si="101">Z40-X40</f>
        <v>24</v>
      </c>
      <c r="AC40" s="153">
        <f t="shared" si="101"/>
        <v>199.63</v>
      </c>
      <c r="AD40" s="154">
        <v>60</v>
      </c>
      <c r="AE40" s="154">
        <v>241.66</v>
      </c>
      <c r="AF40" s="151">
        <f t="shared" ref="AF40:AG42" si="102">AD40-X40</f>
        <v>-6</v>
      </c>
      <c r="AG40" s="151">
        <f t="shared" si="102"/>
        <v>-58.710000000000008</v>
      </c>
      <c r="AH40" s="155">
        <f t="shared" ref="AH40:AH42" si="103">H40+X40</f>
        <v>171</v>
      </c>
      <c r="AI40" s="155">
        <f t="shared" ref="AI40:AI42" si="104">I40+Y40</f>
        <v>764.06</v>
      </c>
      <c r="AJ40" s="156">
        <v>210</v>
      </c>
      <c r="AK40" s="156">
        <v>840</v>
      </c>
      <c r="AL40" s="148">
        <f t="shared" ref="AL40" si="105">J40+Z40</f>
        <v>200</v>
      </c>
      <c r="AM40" s="148">
        <f t="shared" ref="AM40" si="106">K40+AA40</f>
        <v>1000</v>
      </c>
      <c r="AN40" s="149">
        <f t="shared" ref="AN40:AO42" si="107">AL40-AH40</f>
        <v>29</v>
      </c>
      <c r="AO40" s="149">
        <f t="shared" si="107"/>
        <v>235.94000000000005</v>
      </c>
      <c r="AP40" s="150">
        <f t="shared" ref="AP40:AQ42" si="108">AJ40-AH40</f>
        <v>39</v>
      </c>
      <c r="AQ40" s="150">
        <f t="shared" si="108"/>
        <v>75.940000000000055</v>
      </c>
      <c r="AR40" s="368"/>
      <c r="AS40" s="368"/>
      <c r="AT40" s="368"/>
      <c r="AU40" s="368"/>
      <c r="AV40" s="368">
        <v>79</v>
      </c>
      <c r="AW40" s="368">
        <v>346.65</v>
      </c>
      <c r="AX40" s="148">
        <f t="shared" si="78"/>
        <v>79</v>
      </c>
      <c r="AY40" s="148">
        <f t="shared" si="79"/>
        <v>346.65</v>
      </c>
      <c r="AZ40" s="168">
        <v>90</v>
      </c>
      <c r="BA40" s="168">
        <v>400</v>
      </c>
      <c r="BB40" s="149">
        <f t="shared" si="80"/>
        <v>11</v>
      </c>
      <c r="BC40" s="149">
        <f t="shared" si="81"/>
        <v>53.350000000000023</v>
      </c>
      <c r="BD40" s="148">
        <v>30</v>
      </c>
      <c r="BE40" s="210">
        <f t="shared" si="82"/>
        <v>-49</v>
      </c>
      <c r="BF40" s="148">
        <f t="shared" si="83"/>
        <v>250</v>
      </c>
      <c r="BG40" s="148">
        <f t="shared" si="84"/>
        <v>1110.71</v>
      </c>
      <c r="BH40" s="209">
        <v>240</v>
      </c>
      <c r="BI40" s="150">
        <f t="shared" si="85"/>
        <v>290</v>
      </c>
      <c r="BJ40" s="150">
        <f t="shared" si="86"/>
        <v>1400</v>
      </c>
      <c r="BK40" s="153">
        <f t="shared" si="87"/>
        <v>40</v>
      </c>
      <c r="BL40" s="153">
        <f t="shared" si="88"/>
        <v>289.28999999999996</v>
      </c>
      <c r="BM40" s="210">
        <f t="shared" si="89"/>
        <v>-10</v>
      </c>
      <c r="BN40" s="368">
        <v>40</v>
      </c>
      <c r="BO40" s="372">
        <v>173.87</v>
      </c>
      <c r="BP40" s="216">
        <v>40</v>
      </c>
      <c r="BQ40" s="216">
        <v>169.87</v>
      </c>
      <c r="BR40" s="216">
        <v>46</v>
      </c>
      <c r="BS40" s="216">
        <v>193.05</v>
      </c>
      <c r="BT40" s="216">
        <f t="shared" ref="BT40:BU43" si="109">BN40+BP40+BR40</f>
        <v>126</v>
      </c>
      <c r="BU40" s="216">
        <f t="shared" si="109"/>
        <v>536.79</v>
      </c>
      <c r="BV40" s="216">
        <v>110</v>
      </c>
      <c r="BW40" s="216">
        <v>600</v>
      </c>
      <c r="BX40" s="216">
        <f t="shared" ref="BX40:BY42" si="110">BV40-BT40</f>
        <v>-16</v>
      </c>
      <c r="BY40" s="216">
        <f t="shared" si="110"/>
        <v>63.210000000000036</v>
      </c>
      <c r="BZ40" s="216">
        <v>120</v>
      </c>
      <c r="CA40" s="374">
        <f>B40+D40+F40+R40+T40+V40+AR40+AT40+AV40+BN40+BP40+BR40</f>
        <v>376</v>
      </c>
      <c r="CB40" s="374">
        <f>C40+E40+G40+S40+U40+W40+AS40+AU40+AW40+BQ40+BS40+BU40</f>
        <v>2010.4199999999998</v>
      </c>
      <c r="CC40" s="216">
        <v>400</v>
      </c>
      <c r="CD40" s="216">
        <v>2000</v>
      </c>
      <c r="CE40" s="216">
        <f t="shared" ref="CE40:CF42" si="111">CC40-CA40</f>
        <v>24</v>
      </c>
      <c r="CF40" s="216">
        <f t="shared" si="111"/>
        <v>-10.419999999999845</v>
      </c>
      <c r="CG40" s="230">
        <v>360</v>
      </c>
      <c r="CH40" s="228">
        <v>413</v>
      </c>
    </row>
    <row r="41" spans="1:95" ht="16.5" thickBot="1" x14ac:dyDescent="0.3">
      <c r="A41" s="29" t="s">
        <v>41</v>
      </c>
      <c r="B41" s="360">
        <v>148</v>
      </c>
      <c r="C41" s="360">
        <v>657.3</v>
      </c>
      <c r="D41" s="360">
        <v>137</v>
      </c>
      <c r="E41" s="360">
        <v>602.20000000000005</v>
      </c>
      <c r="F41" s="360">
        <v>94</v>
      </c>
      <c r="G41" s="360">
        <v>417.87</v>
      </c>
      <c r="H41" s="364">
        <f t="shared" si="97"/>
        <v>379</v>
      </c>
      <c r="I41" s="364">
        <f t="shared" si="97"/>
        <v>1677.37</v>
      </c>
      <c r="J41" s="188">
        <v>500</v>
      </c>
      <c r="K41" s="188">
        <v>2500</v>
      </c>
      <c r="L41" s="127">
        <f t="shared" si="98"/>
        <v>121</v>
      </c>
      <c r="M41" s="127">
        <f t="shared" si="98"/>
        <v>822.63000000000011</v>
      </c>
      <c r="N41" s="126">
        <v>350</v>
      </c>
      <c r="O41" s="126">
        <v>1383.45</v>
      </c>
      <c r="P41" s="9">
        <f t="shared" si="99"/>
        <v>-29</v>
      </c>
      <c r="Q41" s="9">
        <f t="shared" si="99"/>
        <v>-293.91999999999985</v>
      </c>
      <c r="R41" s="368">
        <v>78</v>
      </c>
      <c r="S41" s="368">
        <v>353.35</v>
      </c>
      <c r="T41" s="368">
        <v>39</v>
      </c>
      <c r="U41" s="368">
        <v>176.81</v>
      </c>
      <c r="V41" s="368">
        <v>12</v>
      </c>
      <c r="W41" s="368">
        <v>55.19</v>
      </c>
      <c r="X41" s="151">
        <f t="shared" si="100"/>
        <v>129</v>
      </c>
      <c r="Y41" s="151">
        <f t="shared" si="100"/>
        <v>585.35000000000014</v>
      </c>
      <c r="Z41" s="148">
        <v>130</v>
      </c>
      <c r="AA41" s="148">
        <v>2500</v>
      </c>
      <c r="AB41" s="153">
        <f t="shared" si="101"/>
        <v>1</v>
      </c>
      <c r="AC41" s="153">
        <f t="shared" si="101"/>
        <v>1914.6499999999999</v>
      </c>
      <c r="AD41" s="154">
        <v>109</v>
      </c>
      <c r="AE41" s="154">
        <v>435.66</v>
      </c>
      <c r="AF41" s="151">
        <f t="shared" si="102"/>
        <v>-20</v>
      </c>
      <c r="AG41" s="151">
        <f t="shared" si="102"/>
        <v>-149.69000000000011</v>
      </c>
      <c r="AH41" s="155">
        <f t="shared" si="103"/>
        <v>508</v>
      </c>
      <c r="AI41" s="155">
        <f t="shared" si="104"/>
        <v>2262.7200000000003</v>
      </c>
      <c r="AJ41" s="156">
        <v>459</v>
      </c>
      <c r="AK41" s="156">
        <v>1819</v>
      </c>
      <c r="AL41" s="148">
        <f t="shared" ref="AL41:AL42" si="112">J41+Z41</f>
        <v>630</v>
      </c>
      <c r="AM41" s="148">
        <f t="shared" ref="AM41:AM42" si="113">K41+AA41</f>
        <v>5000</v>
      </c>
      <c r="AN41" s="149">
        <f t="shared" si="107"/>
        <v>122</v>
      </c>
      <c r="AO41" s="149">
        <f t="shared" si="107"/>
        <v>2737.2799999999997</v>
      </c>
      <c r="AP41" s="150">
        <f t="shared" si="108"/>
        <v>-49</v>
      </c>
      <c r="AQ41" s="150">
        <f t="shared" si="108"/>
        <v>-443.72000000000025</v>
      </c>
      <c r="AR41" s="368"/>
      <c r="AS41" s="368"/>
      <c r="AT41" s="368"/>
      <c r="AU41" s="368"/>
      <c r="AV41" s="368">
        <v>30</v>
      </c>
      <c r="AW41" s="368">
        <v>133.58000000000001</v>
      </c>
      <c r="AX41" s="148">
        <f t="shared" si="78"/>
        <v>30</v>
      </c>
      <c r="AY41" s="148">
        <f t="shared" si="79"/>
        <v>133.58000000000001</v>
      </c>
      <c r="AZ41" s="168">
        <f>20+50+50</f>
        <v>120</v>
      </c>
      <c r="BA41" s="168">
        <f>100+200+300</f>
        <v>600</v>
      </c>
      <c r="BB41" s="149">
        <f t="shared" si="80"/>
        <v>90</v>
      </c>
      <c r="BC41" s="149">
        <f t="shared" si="81"/>
        <v>466.41999999999996</v>
      </c>
      <c r="BD41" s="148">
        <v>62</v>
      </c>
      <c r="BE41" s="210">
        <f t="shared" si="82"/>
        <v>32</v>
      </c>
      <c r="BF41" s="148">
        <f t="shared" si="83"/>
        <v>538</v>
      </c>
      <c r="BG41" s="148">
        <f t="shared" si="84"/>
        <v>2396.3000000000002</v>
      </c>
      <c r="BH41" s="209">
        <v>521</v>
      </c>
      <c r="BI41" s="150">
        <f t="shared" si="85"/>
        <v>750</v>
      </c>
      <c r="BJ41" s="150">
        <f t="shared" si="86"/>
        <v>5600</v>
      </c>
      <c r="BK41" s="153">
        <f t="shared" si="87"/>
        <v>212</v>
      </c>
      <c r="BL41" s="153">
        <f t="shared" si="88"/>
        <v>3203.7</v>
      </c>
      <c r="BM41" s="210">
        <f t="shared" si="89"/>
        <v>-17</v>
      </c>
      <c r="BN41" s="368">
        <v>148</v>
      </c>
      <c r="BO41" s="372">
        <v>643.30999999999995</v>
      </c>
      <c r="BP41" s="216">
        <v>101</v>
      </c>
      <c r="BQ41" s="216">
        <v>506.15</v>
      </c>
      <c r="BR41" s="216">
        <v>135</v>
      </c>
      <c r="BS41" s="216">
        <v>566.54999999999995</v>
      </c>
      <c r="BT41" s="216">
        <f t="shared" si="109"/>
        <v>384</v>
      </c>
      <c r="BU41" s="216">
        <f t="shared" si="109"/>
        <v>1716.01</v>
      </c>
      <c r="BV41" s="216">
        <v>450</v>
      </c>
      <c r="BW41" s="216">
        <v>2200</v>
      </c>
      <c r="BX41" s="216">
        <f t="shared" si="110"/>
        <v>66</v>
      </c>
      <c r="BY41" s="216">
        <f t="shared" si="110"/>
        <v>483.99</v>
      </c>
      <c r="BZ41" s="216">
        <v>275</v>
      </c>
      <c r="CA41" s="374">
        <f>B41+D41+F41+R41+T41+V41+AR41+AT41+AV41+BN41+BP41+BR41</f>
        <v>922</v>
      </c>
      <c r="CB41" s="374">
        <f>C41+E41+G41+S41+U41+W41+AS41+AU41+AW41+BO41+BQ41+BS41</f>
        <v>4112.3099999999995</v>
      </c>
      <c r="CC41" s="216">
        <v>1200</v>
      </c>
      <c r="CD41" s="216">
        <v>5900</v>
      </c>
      <c r="CE41" s="216">
        <f t="shared" si="111"/>
        <v>278</v>
      </c>
      <c r="CF41" s="216">
        <f t="shared" si="111"/>
        <v>1787.6900000000005</v>
      </c>
      <c r="CG41" s="230">
        <v>796</v>
      </c>
      <c r="CH41" s="228">
        <v>1086</v>
      </c>
    </row>
    <row r="42" spans="1:95" ht="16.5" thickBot="1" x14ac:dyDescent="0.3">
      <c r="A42" s="29" t="s">
        <v>42</v>
      </c>
      <c r="B42" s="360">
        <v>90</v>
      </c>
      <c r="C42" s="360">
        <v>399.71</v>
      </c>
      <c r="D42" s="360">
        <v>90</v>
      </c>
      <c r="E42" s="360">
        <v>395.6</v>
      </c>
      <c r="F42" s="360">
        <v>85</v>
      </c>
      <c r="G42" s="360">
        <v>377.87</v>
      </c>
      <c r="H42" s="364">
        <f t="shared" si="97"/>
        <v>265</v>
      </c>
      <c r="I42" s="364">
        <f t="shared" si="97"/>
        <v>1173.1799999999998</v>
      </c>
      <c r="J42" s="188">
        <v>240</v>
      </c>
      <c r="K42" s="188">
        <v>1200</v>
      </c>
      <c r="L42" s="127">
        <f t="shared" si="98"/>
        <v>-25</v>
      </c>
      <c r="M42" s="127">
        <f t="shared" si="98"/>
        <v>26.820000000000164</v>
      </c>
      <c r="N42" s="126">
        <v>214</v>
      </c>
      <c r="O42" s="126">
        <v>853.77</v>
      </c>
      <c r="P42" s="9">
        <f t="shared" si="99"/>
        <v>-51</v>
      </c>
      <c r="Q42" s="9">
        <f t="shared" si="99"/>
        <v>-319.40999999999985</v>
      </c>
      <c r="R42" s="368">
        <v>80</v>
      </c>
      <c r="S42" s="368">
        <v>362.4</v>
      </c>
      <c r="T42" s="368">
        <v>50</v>
      </c>
      <c r="U42" s="368">
        <v>226.68</v>
      </c>
      <c r="V42" s="368">
        <v>15</v>
      </c>
      <c r="W42" s="368">
        <v>69</v>
      </c>
      <c r="X42" s="151">
        <f t="shared" si="100"/>
        <v>145</v>
      </c>
      <c r="Y42" s="151">
        <f t="shared" si="100"/>
        <v>658.07999999999993</v>
      </c>
      <c r="Z42" s="148">
        <v>120</v>
      </c>
      <c r="AA42" s="148">
        <v>720</v>
      </c>
      <c r="AB42" s="153">
        <f t="shared" si="101"/>
        <v>-25</v>
      </c>
      <c r="AC42" s="153">
        <f t="shared" si="101"/>
        <v>61.920000000000073</v>
      </c>
      <c r="AD42" s="154">
        <v>100</v>
      </c>
      <c r="AE42" s="154">
        <v>401.57</v>
      </c>
      <c r="AF42" s="151">
        <f t="shared" si="102"/>
        <v>-45</v>
      </c>
      <c r="AG42" s="151">
        <f t="shared" si="102"/>
        <v>-256.50999999999993</v>
      </c>
      <c r="AH42" s="155">
        <f t="shared" si="103"/>
        <v>410</v>
      </c>
      <c r="AI42" s="155">
        <f t="shared" si="104"/>
        <v>1831.2599999999998</v>
      </c>
      <c r="AJ42" s="156">
        <v>314</v>
      </c>
      <c r="AK42" s="156">
        <v>1255</v>
      </c>
      <c r="AL42" s="148">
        <f t="shared" si="112"/>
        <v>360</v>
      </c>
      <c r="AM42" s="148">
        <f t="shared" si="113"/>
        <v>1920</v>
      </c>
      <c r="AN42" s="149">
        <f t="shared" si="107"/>
        <v>-50</v>
      </c>
      <c r="AO42" s="149">
        <f t="shared" si="107"/>
        <v>88.740000000000236</v>
      </c>
      <c r="AP42" s="150">
        <f t="shared" si="108"/>
        <v>-96</v>
      </c>
      <c r="AQ42" s="150">
        <f t="shared" si="108"/>
        <v>-576.25999999999976</v>
      </c>
      <c r="AR42" s="368"/>
      <c r="AS42" s="368"/>
      <c r="AT42" s="368"/>
      <c r="AU42" s="368"/>
      <c r="AV42" s="368">
        <v>261</v>
      </c>
      <c r="AW42" s="368">
        <v>1153.22</v>
      </c>
      <c r="AX42" s="148">
        <f t="shared" si="78"/>
        <v>261</v>
      </c>
      <c r="AY42" s="148">
        <f t="shared" si="79"/>
        <v>1153.22</v>
      </c>
      <c r="AZ42" s="168">
        <v>90</v>
      </c>
      <c r="BA42" s="168">
        <v>400</v>
      </c>
      <c r="BB42" s="149">
        <f t="shared" si="80"/>
        <v>-171</v>
      </c>
      <c r="BC42" s="149">
        <f t="shared" si="81"/>
        <v>-753.22</v>
      </c>
      <c r="BD42" s="148">
        <v>130</v>
      </c>
      <c r="BE42" s="210">
        <f t="shared" si="82"/>
        <v>-131</v>
      </c>
      <c r="BF42" s="148">
        <f t="shared" si="83"/>
        <v>671</v>
      </c>
      <c r="BG42" s="148">
        <f t="shared" si="84"/>
        <v>2984.4799999999996</v>
      </c>
      <c r="BH42" s="209">
        <v>444</v>
      </c>
      <c r="BI42" s="150">
        <f t="shared" si="85"/>
        <v>450</v>
      </c>
      <c r="BJ42" s="150">
        <f t="shared" si="86"/>
        <v>2320</v>
      </c>
      <c r="BK42" s="153">
        <f t="shared" si="87"/>
        <v>-221</v>
      </c>
      <c r="BL42" s="153">
        <f t="shared" si="88"/>
        <v>-664.47999999999956</v>
      </c>
      <c r="BM42" s="210">
        <f t="shared" si="89"/>
        <v>-227</v>
      </c>
      <c r="BN42" s="368">
        <v>75</v>
      </c>
      <c r="BO42" s="372">
        <v>326.02</v>
      </c>
      <c r="BP42" s="216">
        <v>100</v>
      </c>
      <c r="BQ42" s="216">
        <v>501.13</v>
      </c>
      <c r="BR42" s="216">
        <v>110</v>
      </c>
      <c r="BS42" s="216">
        <v>461.64</v>
      </c>
      <c r="BT42" s="216">
        <f t="shared" si="109"/>
        <v>285</v>
      </c>
      <c r="BU42" s="216">
        <f t="shared" si="109"/>
        <v>1288.79</v>
      </c>
      <c r="BV42" s="216">
        <v>250</v>
      </c>
      <c r="BW42" s="216">
        <v>1200</v>
      </c>
      <c r="BX42" s="216">
        <f t="shared" si="110"/>
        <v>-35</v>
      </c>
      <c r="BY42" s="216">
        <f t="shared" si="110"/>
        <v>-88.789999999999964</v>
      </c>
      <c r="BZ42" s="216">
        <v>302</v>
      </c>
      <c r="CA42" s="374">
        <f>B42+D42+F42+R42+T42+V42+AR42+AT42+AV42+BN42+BP42+BR42</f>
        <v>956</v>
      </c>
      <c r="CB42" s="374">
        <f>C42+E42+G42+S42+U42+W42+AS42+AU42+AW42+BO42+BQ42+BS42</f>
        <v>4273.2700000000004</v>
      </c>
      <c r="CC42" s="216">
        <v>700</v>
      </c>
      <c r="CD42" s="216">
        <v>3500</v>
      </c>
      <c r="CE42" s="216">
        <f t="shared" si="111"/>
        <v>-256</v>
      </c>
      <c r="CF42" s="216">
        <f t="shared" si="111"/>
        <v>-773.27000000000044</v>
      </c>
      <c r="CG42" s="230">
        <v>746</v>
      </c>
      <c r="CH42" s="228"/>
    </row>
    <row r="43" spans="1:95" ht="16.5" thickBot="1" x14ac:dyDescent="0.3">
      <c r="A43" s="29" t="s">
        <v>43</v>
      </c>
      <c r="B43" s="360"/>
      <c r="C43" s="360"/>
      <c r="D43" s="360"/>
      <c r="E43" s="360"/>
      <c r="F43" s="360"/>
      <c r="G43" s="360"/>
      <c r="H43" s="364"/>
      <c r="I43" s="364"/>
      <c r="J43" s="188"/>
      <c r="K43" s="188"/>
      <c r="L43" s="127"/>
      <c r="M43" s="127"/>
      <c r="N43" s="126"/>
      <c r="O43" s="126"/>
      <c r="P43" s="9"/>
      <c r="Q43" s="9"/>
      <c r="R43" s="368"/>
      <c r="S43" s="368"/>
      <c r="T43" s="368"/>
      <c r="U43" s="368"/>
      <c r="V43" s="368"/>
      <c r="W43" s="368"/>
      <c r="X43" s="151"/>
      <c r="Y43" s="151"/>
      <c r="Z43" s="148"/>
      <c r="AA43" s="148"/>
      <c r="AB43" s="153"/>
      <c r="AC43" s="153"/>
      <c r="AD43" s="154"/>
      <c r="AE43" s="154"/>
      <c r="AF43" s="151"/>
      <c r="AG43" s="151"/>
      <c r="AH43" s="155"/>
      <c r="AI43" s="155"/>
      <c r="AJ43" s="156"/>
      <c r="AK43" s="156"/>
      <c r="AL43" s="148"/>
      <c r="AM43" s="148"/>
      <c r="AN43" s="149"/>
      <c r="AO43" s="149"/>
      <c r="AP43" s="150"/>
      <c r="AQ43" s="150"/>
      <c r="AR43" s="368"/>
      <c r="AS43" s="368"/>
      <c r="AT43" s="368"/>
      <c r="AU43" s="368"/>
      <c r="AV43" s="368"/>
      <c r="AW43" s="368"/>
      <c r="AX43" s="148"/>
      <c r="AY43" s="148"/>
      <c r="AZ43" s="168"/>
      <c r="BA43" s="168"/>
      <c r="BB43" s="149">
        <f t="shared" si="80"/>
        <v>0</v>
      </c>
      <c r="BC43" s="149">
        <f t="shared" si="81"/>
        <v>0</v>
      </c>
      <c r="BD43" s="148"/>
      <c r="BE43" s="210">
        <f t="shared" si="82"/>
        <v>0</v>
      </c>
      <c r="BF43" s="148">
        <f t="shared" si="83"/>
        <v>0</v>
      </c>
      <c r="BG43" s="148">
        <f t="shared" si="84"/>
        <v>0</v>
      </c>
      <c r="BH43" s="209"/>
      <c r="BI43" s="150">
        <f t="shared" si="85"/>
        <v>0</v>
      </c>
      <c r="BJ43" s="150">
        <f t="shared" si="86"/>
        <v>0</v>
      </c>
      <c r="BK43" s="153">
        <f t="shared" si="87"/>
        <v>0</v>
      </c>
      <c r="BL43" s="153">
        <f t="shared" si="88"/>
        <v>0</v>
      </c>
      <c r="BM43" s="210">
        <f t="shared" si="89"/>
        <v>0</v>
      </c>
      <c r="BN43" s="368"/>
      <c r="BO43" s="372"/>
      <c r="BP43" s="216"/>
      <c r="BQ43" s="216"/>
      <c r="BR43" s="216"/>
      <c r="BS43" s="216"/>
      <c r="BT43" s="216">
        <f t="shared" si="109"/>
        <v>0</v>
      </c>
      <c r="BU43" s="216">
        <f t="shared" si="109"/>
        <v>0</v>
      </c>
      <c r="BV43" s="216"/>
      <c r="BW43" s="216"/>
      <c r="BX43" s="216"/>
      <c r="BY43" s="216"/>
      <c r="BZ43" s="216"/>
      <c r="CA43" s="374"/>
      <c r="CB43" s="374"/>
      <c r="CC43" s="216"/>
      <c r="CD43" s="216"/>
      <c r="CE43" s="216"/>
      <c r="CF43" s="216"/>
      <c r="CG43" s="230"/>
      <c r="CH43" s="228"/>
    </row>
    <row r="44" spans="1:95" s="131" customFormat="1" ht="16.5" thickBot="1" x14ac:dyDescent="0.3">
      <c r="A44" s="203" t="s">
        <v>44</v>
      </c>
      <c r="B44" s="204">
        <f t="shared" ref="B44:K44" si="114">SUM(B45:B52)</f>
        <v>39</v>
      </c>
      <c r="C44" s="204">
        <f t="shared" si="114"/>
        <v>173.2</v>
      </c>
      <c r="D44" s="204">
        <f t="shared" si="114"/>
        <v>25</v>
      </c>
      <c r="E44" s="204">
        <f t="shared" si="114"/>
        <v>109.89</v>
      </c>
      <c r="F44" s="204">
        <f t="shared" si="114"/>
        <v>68</v>
      </c>
      <c r="G44" s="204">
        <f t="shared" si="114"/>
        <v>302.3</v>
      </c>
      <c r="H44" s="204">
        <f t="shared" si="114"/>
        <v>132</v>
      </c>
      <c r="I44" s="204">
        <f t="shared" si="114"/>
        <v>585.39</v>
      </c>
      <c r="J44" s="205">
        <f t="shared" si="114"/>
        <v>150</v>
      </c>
      <c r="K44" s="205">
        <f t="shared" si="114"/>
        <v>800</v>
      </c>
      <c r="L44" s="205">
        <f>J44-H44</f>
        <v>18</v>
      </c>
      <c r="M44" s="205">
        <f>K44-I44</f>
        <v>214.61</v>
      </c>
      <c r="N44" s="205">
        <v>83</v>
      </c>
      <c r="O44" s="205">
        <v>327.57</v>
      </c>
      <c r="P44" s="205">
        <f>N44-H44</f>
        <v>-49</v>
      </c>
      <c r="Q44" s="205">
        <f>O44-I44</f>
        <v>-257.82</v>
      </c>
      <c r="R44" s="206">
        <f t="shared" ref="R44:AA44" si="115">SUM(R45:R52)</f>
        <v>15</v>
      </c>
      <c r="S44" s="206">
        <f t="shared" si="115"/>
        <v>67.959999999999994</v>
      </c>
      <c r="T44" s="206">
        <f t="shared" si="115"/>
        <v>2</v>
      </c>
      <c r="U44" s="206">
        <f t="shared" si="115"/>
        <v>9.06</v>
      </c>
      <c r="V44" s="206">
        <f t="shared" si="115"/>
        <v>41</v>
      </c>
      <c r="W44" s="206">
        <f t="shared" si="115"/>
        <v>188.56</v>
      </c>
      <c r="X44" s="206">
        <f t="shared" si="115"/>
        <v>58</v>
      </c>
      <c r="Y44" s="206">
        <f t="shared" si="115"/>
        <v>265.58</v>
      </c>
      <c r="Z44" s="181">
        <v>110</v>
      </c>
      <c r="AA44" s="181">
        <f t="shared" si="115"/>
        <v>500</v>
      </c>
      <c r="AB44" s="181">
        <f>Z44-X44</f>
        <v>52</v>
      </c>
      <c r="AC44" s="181">
        <f>AA44-Y44</f>
        <v>234.42000000000002</v>
      </c>
      <c r="AD44" s="181">
        <f>SUM(AD45:AD52)</f>
        <v>29</v>
      </c>
      <c r="AE44" s="181">
        <f>SUM(AE45:AE52)</f>
        <v>114.76</v>
      </c>
      <c r="AF44" s="181">
        <f>AD44-X44</f>
        <v>-29</v>
      </c>
      <c r="AG44" s="181">
        <f>AE44-Y44</f>
        <v>-150.82</v>
      </c>
      <c r="AH44" s="181">
        <f t="shared" ref="AH44:AI44" si="116">SUM(AH51:AH52)</f>
        <v>190</v>
      </c>
      <c r="AI44" s="181">
        <f t="shared" si="116"/>
        <v>850.97</v>
      </c>
      <c r="AJ44" s="181">
        <f>SUM(AJ51:AJ52)</f>
        <v>112</v>
      </c>
      <c r="AK44" s="181">
        <f>SUM(AK51:AK52)</f>
        <v>442</v>
      </c>
      <c r="AL44" s="181">
        <f>SUM(AL51:AL52)</f>
        <v>260</v>
      </c>
      <c r="AM44" s="181">
        <f>SUM(AM51:AM52)</f>
        <v>1300</v>
      </c>
      <c r="AN44" s="181">
        <f>AL44-AH44</f>
        <v>70</v>
      </c>
      <c r="AO44" s="181">
        <f>AM44-AI44</f>
        <v>449.03</v>
      </c>
      <c r="AP44" s="202">
        <f>AJ44-AH44</f>
        <v>-78</v>
      </c>
      <c r="AQ44" s="202">
        <f>AK44-AI44</f>
        <v>-408.97</v>
      </c>
      <c r="AR44" s="181">
        <f t="shared" ref="AR44:BL44" si="117">SUM(AR51:AR52)</f>
        <v>0</v>
      </c>
      <c r="AS44" s="181">
        <f t="shared" si="117"/>
        <v>0</v>
      </c>
      <c r="AT44" s="181">
        <f t="shared" si="117"/>
        <v>0</v>
      </c>
      <c r="AU44" s="181">
        <f t="shared" si="117"/>
        <v>0</v>
      </c>
      <c r="AV44" s="181">
        <f t="shared" si="117"/>
        <v>33</v>
      </c>
      <c r="AW44" s="181">
        <f t="shared" si="117"/>
        <v>143.25</v>
      </c>
      <c r="AX44" s="181">
        <f t="shared" si="117"/>
        <v>33</v>
      </c>
      <c r="AY44" s="181">
        <f t="shared" si="117"/>
        <v>143.25</v>
      </c>
      <c r="AZ44" s="181">
        <f t="shared" si="117"/>
        <v>90</v>
      </c>
      <c r="BA44" s="181">
        <f t="shared" si="117"/>
        <v>500</v>
      </c>
      <c r="BB44" s="181">
        <f t="shared" si="117"/>
        <v>57</v>
      </c>
      <c r="BC44" s="181">
        <f t="shared" si="117"/>
        <v>356.75</v>
      </c>
      <c r="BD44" s="181">
        <f t="shared" si="117"/>
        <v>9</v>
      </c>
      <c r="BE44" s="181">
        <f t="shared" si="117"/>
        <v>-24</v>
      </c>
      <c r="BF44" s="181">
        <f t="shared" si="117"/>
        <v>223</v>
      </c>
      <c r="BG44" s="181">
        <f t="shared" si="117"/>
        <v>994.22</v>
      </c>
      <c r="BH44" s="181">
        <f t="shared" si="117"/>
        <v>121</v>
      </c>
      <c r="BI44" s="181">
        <f t="shared" si="117"/>
        <v>350</v>
      </c>
      <c r="BJ44" s="181">
        <f t="shared" si="117"/>
        <v>1800</v>
      </c>
      <c r="BK44" s="181">
        <f t="shared" si="117"/>
        <v>127</v>
      </c>
      <c r="BL44" s="181">
        <f t="shared" si="117"/>
        <v>805.78</v>
      </c>
      <c r="BM44" s="181">
        <f t="shared" ref="BM44:BO44" si="118">SUM(BM51:BM52)</f>
        <v>-102</v>
      </c>
      <c r="BN44" s="181">
        <f>SUM(BN51:BN52)</f>
        <v>25</v>
      </c>
      <c r="BO44" s="214">
        <f t="shared" si="118"/>
        <v>108.67</v>
      </c>
      <c r="BP44" s="218">
        <f t="shared" ref="BP44:CG44" si="119">SUM(BP51:BP52)</f>
        <v>28</v>
      </c>
      <c r="BQ44" s="218">
        <f t="shared" si="119"/>
        <v>118.91</v>
      </c>
      <c r="BR44" s="220">
        <f t="shared" si="119"/>
        <v>19</v>
      </c>
      <c r="BS44" s="220">
        <f t="shared" si="119"/>
        <v>79.73</v>
      </c>
      <c r="BT44" s="218">
        <f t="shared" si="119"/>
        <v>72</v>
      </c>
      <c r="BU44" s="218">
        <f t="shared" si="119"/>
        <v>307.31</v>
      </c>
      <c r="BV44" s="218">
        <f t="shared" si="119"/>
        <v>150</v>
      </c>
      <c r="BW44" s="218">
        <f t="shared" si="119"/>
        <v>700</v>
      </c>
      <c r="BX44" s="218">
        <f t="shared" si="119"/>
        <v>78</v>
      </c>
      <c r="BY44" s="218">
        <f t="shared" si="119"/>
        <v>392.69</v>
      </c>
      <c r="BZ44" s="218">
        <f t="shared" si="119"/>
        <v>138</v>
      </c>
      <c r="CA44" s="218">
        <f t="shared" si="119"/>
        <v>295</v>
      </c>
      <c r="CB44" s="218">
        <f t="shared" si="119"/>
        <v>1301.5300000000002</v>
      </c>
      <c r="CC44" s="218">
        <f t="shared" si="119"/>
        <v>500</v>
      </c>
      <c r="CD44" s="218">
        <f t="shared" si="119"/>
        <v>2500</v>
      </c>
      <c r="CE44" s="218">
        <f>SUM(CE51:CE52)</f>
        <v>205</v>
      </c>
      <c r="CF44" s="218">
        <f t="shared" si="119"/>
        <v>1198.4699999999998</v>
      </c>
      <c r="CG44" s="224">
        <f t="shared" si="119"/>
        <v>259</v>
      </c>
      <c r="CH44" s="226">
        <f>SUM(CH45:CH52)</f>
        <v>1286</v>
      </c>
      <c r="CI44" s="221"/>
      <c r="CJ44" s="221"/>
      <c r="CK44" s="221"/>
      <c r="CL44" s="221"/>
      <c r="CM44" s="221"/>
      <c r="CN44" s="221"/>
      <c r="CO44" s="221"/>
      <c r="CP44" s="221"/>
      <c r="CQ44" s="221"/>
    </row>
    <row r="45" spans="1:95" ht="16.5" thickBot="1" x14ac:dyDescent="0.3">
      <c r="A45" s="29" t="s">
        <v>45</v>
      </c>
      <c r="B45" s="360"/>
      <c r="C45" s="360"/>
      <c r="D45" s="360"/>
      <c r="E45" s="360"/>
      <c r="F45" s="360"/>
      <c r="G45" s="360"/>
      <c r="H45" s="364"/>
      <c r="I45" s="364"/>
      <c r="J45" s="188"/>
      <c r="K45" s="188"/>
      <c r="L45" s="127">
        <f t="shared" si="95"/>
        <v>0</v>
      </c>
      <c r="M45" s="127">
        <f t="shared" si="95"/>
        <v>0</v>
      </c>
      <c r="N45" s="126">
        <v>0</v>
      </c>
      <c r="O45" s="126">
        <v>0</v>
      </c>
      <c r="P45" s="9"/>
      <c r="Q45" s="9"/>
      <c r="R45" s="368"/>
      <c r="S45" s="368"/>
      <c r="T45" s="368"/>
      <c r="U45" s="368"/>
      <c r="V45" s="368"/>
      <c r="W45" s="368"/>
      <c r="X45" s="151"/>
      <c r="Y45" s="151"/>
      <c r="Z45" s="148"/>
      <c r="AA45" s="148"/>
      <c r="AB45" s="153">
        <f t="shared" ref="AB45:AC50" si="120">Z45-R45</f>
        <v>0</v>
      </c>
      <c r="AC45" s="153">
        <f t="shared" si="120"/>
        <v>0</v>
      </c>
      <c r="AD45" s="154">
        <v>0</v>
      </c>
      <c r="AE45" s="154">
        <v>0</v>
      </c>
      <c r="AF45" s="151"/>
      <c r="AG45" s="151"/>
      <c r="AH45" s="155"/>
      <c r="AI45" s="155"/>
      <c r="AJ45" s="156"/>
      <c r="AK45" s="156"/>
      <c r="AL45" s="148"/>
      <c r="AM45" s="148"/>
      <c r="AN45" s="149"/>
      <c r="AO45" s="149"/>
      <c r="AP45" s="150"/>
      <c r="AQ45" s="150"/>
      <c r="AR45" s="368"/>
      <c r="AS45" s="368"/>
      <c r="AT45" s="368"/>
      <c r="AU45" s="368"/>
      <c r="AV45" s="368"/>
      <c r="AW45" s="368"/>
      <c r="AX45" s="148"/>
      <c r="AY45" s="148"/>
      <c r="AZ45" s="168"/>
      <c r="BA45" s="168"/>
      <c r="BB45" s="149">
        <f t="shared" ref="BB45:BB52" si="121">AZ45-AX45</f>
        <v>0</v>
      </c>
      <c r="BC45" s="149">
        <f t="shared" ref="BC45:BC52" si="122">BA45-AY45</f>
        <v>0</v>
      </c>
      <c r="BD45" s="148"/>
      <c r="BE45" s="210">
        <f t="shared" ref="BE45:BE52" si="123">BD45-AX45</f>
        <v>0</v>
      </c>
      <c r="BF45" s="148">
        <f t="shared" ref="BF45:BG52" si="124">AH45+AX45</f>
        <v>0</v>
      </c>
      <c r="BG45" s="148">
        <f t="shared" si="124"/>
        <v>0</v>
      </c>
      <c r="BH45" s="209"/>
      <c r="BI45" s="150"/>
      <c r="BJ45" s="150"/>
      <c r="BK45" s="153">
        <f t="shared" ref="BK45:BK52" si="125">BI45-BF45</f>
        <v>0</v>
      </c>
      <c r="BL45" s="153">
        <f t="shared" ref="BL45:BL52" si="126">BJ45-BG45</f>
        <v>0</v>
      </c>
      <c r="BM45" s="210">
        <f t="shared" ref="BM45:BM52" si="127">BH45-BF45</f>
        <v>0</v>
      </c>
      <c r="BN45" s="368"/>
      <c r="BO45" s="372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374"/>
      <c r="CB45" s="374"/>
      <c r="CC45" s="216"/>
      <c r="CD45" s="216"/>
      <c r="CE45" s="216"/>
      <c r="CF45" s="216"/>
      <c r="CG45" s="230"/>
      <c r="CH45" s="228"/>
    </row>
    <row r="46" spans="1:95" ht="16.5" thickBot="1" x14ac:dyDescent="0.3">
      <c r="A46" s="29" t="s">
        <v>46</v>
      </c>
      <c r="B46" s="360"/>
      <c r="C46" s="360"/>
      <c r="D46" s="360"/>
      <c r="E46" s="360"/>
      <c r="F46" s="360"/>
      <c r="G46" s="360"/>
      <c r="H46" s="364"/>
      <c r="I46" s="364"/>
      <c r="J46" s="188"/>
      <c r="K46" s="188"/>
      <c r="L46" s="127">
        <f t="shared" si="95"/>
        <v>0</v>
      </c>
      <c r="M46" s="127">
        <f t="shared" si="95"/>
        <v>0</v>
      </c>
      <c r="N46" s="126">
        <v>0</v>
      </c>
      <c r="O46" s="126">
        <v>0</v>
      </c>
      <c r="P46" s="9"/>
      <c r="Q46" s="9"/>
      <c r="R46" s="368"/>
      <c r="S46" s="368"/>
      <c r="T46" s="368"/>
      <c r="U46" s="368"/>
      <c r="V46" s="368"/>
      <c r="W46" s="368"/>
      <c r="X46" s="151"/>
      <c r="Y46" s="151"/>
      <c r="Z46" s="148"/>
      <c r="AA46" s="148"/>
      <c r="AB46" s="153">
        <f t="shared" si="120"/>
        <v>0</v>
      </c>
      <c r="AC46" s="153">
        <f t="shared" si="120"/>
        <v>0</v>
      </c>
      <c r="AD46" s="154">
        <v>0</v>
      </c>
      <c r="AE46" s="154">
        <v>0</v>
      </c>
      <c r="AF46" s="151"/>
      <c r="AG46" s="151"/>
      <c r="AH46" s="155"/>
      <c r="AI46" s="155"/>
      <c r="AJ46" s="156"/>
      <c r="AK46" s="156"/>
      <c r="AL46" s="148"/>
      <c r="AM46" s="148"/>
      <c r="AN46" s="149"/>
      <c r="AO46" s="149"/>
      <c r="AP46" s="150"/>
      <c r="AQ46" s="150"/>
      <c r="AR46" s="368"/>
      <c r="AS46" s="368"/>
      <c r="AT46" s="368"/>
      <c r="AU46" s="368"/>
      <c r="AV46" s="368"/>
      <c r="AW46" s="368"/>
      <c r="AX46" s="148">
        <f t="shared" ref="AX46:AX52" si="128">AR46+AT46+AV46</f>
        <v>0</v>
      </c>
      <c r="AY46" s="148">
        <f t="shared" ref="AY46:AY52" si="129">AS46+AU46+AW46</f>
        <v>0</v>
      </c>
      <c r="AZ46" s="168"/>
      <c r="BA46" s="168"/>
      <c r="BB46" s="149">
        <f t="shared" si="121"/>
        <v>0</v>
      </c>
      <c r="BC46" s="149">
        <f t="shared" si="122"/>
        <v>0</v>
      </c>
      <c r="BD46" s="148"/>
      <c r="BE46" s="210">
        <f t="shared" si="123"/>
        <v>0</v>
      </c>
      <c r="BF46" s="148">
        <f t="shared" si="124"/>
        <v>0</v>
      </c>
      <c r="BG46" s="148">
        <f t="shared" si="124"/>
        <v>0</v>
      </c>
      <c r="BH46" s="209"/>
      <c r="BI46" s="150">
        <f t="shared" ref="BI46:BJ52" si="130">AL46+AZ46</f>
        <v>0</v>
      </c>
      <c r="BJ46" s="150">
        <f t="shared" si="130"/>
        <v>0</v>
      </c>
      <c r="BK46" s="153">
        <f t="shared" si="125"/>
        <v>0</v>
      </c>
      <c r="BL46" s="153">
        <f t="shared" si="126"/>
        <v>0</v>
      </c>
      <c r="BM46" s="210">
        <f t="shared" si="127"/>
        <v>0</v>
      </c>
      <c r="BN46" s="368"/>
      <c r="BO46" s="372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374"/>
      <c r="CB46" s="374"/>
      <c r="CC46" s="216"/>
      <c r="CD46" s="216"/>
      <c r="CE46" s="216"/>
      <c r="CF46" s="216"/>
      <c r="CG46" s="230"/>
      <c r="CH46" s="228"/>
    </row>
    <row r="47" spans="1:95" ht="16.5" thickBot="1" x14ac:dyDescent="0.3">
      <c r="A47" s="29" t="s">
        <v>47</v>
      </c>
      <c r="B47" s="360"/>
      <c r="C47" s="360"/>
      <c r="D47" s="360"/>
      <c r="E47" s="360"/>
      <c r="F47" s="360"/>
      <c r="G47" s="360"/>
      <c r="H47" s="364"/>
      <c r="I47" s="364"/>
      <c r="J47" s="188"/>
      <c r="K47" s="188"/>
      <c r="L47" s="127">
        <f t="shared" si="95"/>
        <v>0</v>
      </c>
      <c r="M47" s="127">
        <f t="shared" si="95"/>
        <v>0</v>
      </c>
      <c r="N47" s="126">
        <v>0</v>
      </c>
      <c r="O47" s="126">
        <v>0</v>
      </c>
      <c r="P47" s="9"/>
      <c r="Q47" s="9"/>
      <c r="R47" s="368"/>
      <c r="S47" s="368"/>
      <c r="T47" s="368"/>
      <c r="U47" s="368"/>
      <c r="V47" s="368"/>
      <c r="W47" s="368"/>
      <c r="X47" s="151"/>
      <c r="Y47" s="151"/>
      <c r="Z47" s="148"/>
      <c r="AA47" s="148"/>
      <c r="AB47" s="153">
        <f t="shared" si="120"/>
        <v>0</v>
      </c>
      <c r="AC47" s="153">
        <f t="shared" si="120"/>
        <v>0</v>
      </c>
      <c r="AD47" s="154">
        <v>0</v>
      </c>
      <c r="AE47" s="154">
        <v>0</v>
      </c>
      <c r="AF47" s="151"/>
      <c r="AG47" s="151"/>
      <c r="AH47" s="155"/>
      <c r="AI47" s="155"/>
      <c r="AJ47" s="156"/>
      <c r="AK47" s="156"/>
      <c r="AL47" s="148"/>
      <c r="AM47" s="148"/>
      <c r="AN47" s="149"/>
      <c r="AO47" s="149"/>
      <c r="AP47" s="150"/>
      <c r="AQ47" s="150"/>
      <c r="AR47" s="368"/>
      <c r="AS47" s="368"/>
      <c r="AT47" s="368"/>
      <c r="AU47" s="368"/>
      <c r="AV47" s="368"/>
      <c r="AW47" s="368"/>
      <c r="AX47" s="148">
        <f t="shared" si="128"/>
        <v>0</v>
      </c>
      <c r="AY47" s="148">
        <f t="shared" si="129"/>
        <v>0</v>
      </c>
      <c r="AZ47" s="168"/>
      <c r="BA47" s="168"/>
      <c r="BB47" s="149">
        <f t="shared" si="121"/>
        <v>0</v>
      </c>
      <c r="BC47" s="149">
        <f t="shared" si="122"/>
        <v>0</v>
      </c>
      <c r="BD47" s="148"/>
      <c r="BE47" s="210">
        <f t="shared" si="123"/>
        <v>0</v>
      </c>
      <c r="BF47" s="148">
        <f t="shared" si="124"/>
        <v>0</v>
      </c>
      <c r="BG47" s="148">
        <f t="shared" si="124"/>
        <v>0</v>
      </c>
      <c r="BH47" s="209"/>
      <c r="BI47" s="150">
        <f t="shared" si="130"/>
        <v>0</v>
      </c>
      <c r="BJ47" s="150">
        <f t="shared" si="130"/>
        <v>0</v>
      </c>
      <c r="BK47" s="153">
        <f t="shared" si="125"/>
        <v>0</v>
      </c>
      <c r="BL47" s="153">
        <f t="shared" si="126"/>
        <v>0</v>
      </c>
      <c r="BM47" s="210">
        <f t="shared" si="127"/>
        <v>0</v>
      </c>
      <c r="BN47" s="368"/>
      <c r="BO47" s="372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374"/>
      <c r="CB47" s="374"/>
      <c r="CC47" s="216"/>
      <c r="CD47" s="216"/>
      <c r="CE47" s="216"/>
      <c r="CF47" s="216"/>
      <c r="CG47" s="230"/>
      <c r="CH47" s="228"/>
    </row>
    <row r="48" spans="1:95" ht="16.5" thickBot="1" x14ac:dyDescent="0.3">
      <c r="A48" s="29" t="s">
        <v>48</v>
      </c>
      <c r="B48" s="360"/>
      <c r="C48" s="360"/>
      <c r="D48" s="360"/>
      <c r="E48" s="360"/>
      <c r="F48" s="360"/>
      <c r="G48" s="360"/>
      <c r="H48" s="364"/>
      <c r="I48" s="364"/>
      <c r="J48" s="188"/>
      <c r="K48" s="188"/>
      <c r="L48" s="127">
        <f t="shared" si="95"/>
        <v>0</v>
      </c>
      <c r="M48" s="127">
        <f t="shared" si="95"/>
        <v>0</v>
      </c>
      <c r="N48" s="126">
        <v>0</v>
      </c>
      <c r="O48" s="126">
        <v>0</v>
      </c>
      <c r="P48" s="9"/>
      <c r="Q48" s="9"/>
      <c r="R48" s="368"/>
      <c r="S48" s="368"/>
      <c r="T48" s="368"/>
      <c r="U48" s="368"/>
      <c r="V48" s="368"/>
      <c r="W48" s="368"/>
      <c r="X48" s="151"/>
      <c r="Y48" s="151"/>
      <c r="Z48" s="148"/>
      <c r="AA48" s="148"/>
      <c r="AB48" s="153">
        <f t="shared" si="120"/>
        <v>0</v>
      </c>
      <c r="AC48" s="153">
        <f t="shared" si="120"/>
        <v>0</v>
      </c>
      <c r="AD48" s="154">
        <v>0</v>
      </c>
      <c r="AE48" s="154">
        <v>0</v>
      </c>
      <c r="AF48" s="151"/>
      <c r="AG48" s="151"/>
      <c r="AH48" s="155"/>
      <c r="AI48" s="155"/>
      <c r="AJ48" s="156"/>
      <c r="AK48" s="156"/>
      <c r="AL48" s="148"/>
      <c r="AM48" s="148"/>
      <c r="AN48" s="149"/>
      <c r="AO48" s="149"/>
      <c r="AP48" s="150"/>
      <c r="AQ48" s="150"/>
      <c r="AR48" s="368"/>
      <c r="AS48" s="368"/>
      <c r="AT48" s="368"/>
      <c r="AU48" s="368"/>
      <c r="AV48" s="368"/>
      <c r="AW48" s="368"/>
      <c r="AX48" s="148">
        <f t="shared" si="128"/>
        <v>0</v>
      </c>
      <c r="AY48" s="148">
        <f t="shared" si="129"/>
        <v>0</v>
      </c>
      <c r="AZ48" s="168"/>
      <c r="BA48" s="168"/>
      <c r="BB48" s="149">
        <f t="shared" si="121"/>
        <v>0</v>
      </c>
      <c r="BC48" s="149">
        <f t="shared" si="122"/>
        <v>0</v>
      </c>
      <c r="BD48" s="148"/>
      <c r="BE48" s="210">
        <f t="shared" si="123"/>
        <v>0</v>
      </c>
      <c r="BF48" s="148">
        <f t="shared" si="124"/>
        <v>0</v>
      </c>
      <c r="BG48" s="148">
        <f t="shared" si="124"/>
        <v>0</v>
      </c>
      <c r="BH48" s="209"/>
      <c r="BI48" s="150">
        <f t="shared" si="130"/>
        <v>0</v>
      </c>
      <c r="BJ48" s="150">
        <f t="shared" si="130"/>
        <v>0</v>
      </c>
      <c r="BK48" s="153">
        <f t="shared" si="125"/>
        <v>0</v>
      </c>
      <c r="BL48" s="153">
        <f t="shared" si="126"/>
        <v>0</v>
      </c>
      <c r="BM48" s="210">
        <f t="shared" si="127"/>
        <v>0</v>
      </c>
      <c r="BN48" s="368"/>
      <c r="BO48" s="372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374"/>
      <c r="CB48" s="374"/>
      <c r="CC48" s="216"/>
      <c r="CD48" s="216"/>
      <c r="CE48" s="216"/>
      <c r="CF48" s="216"/>
      <c r="CG48" s="230"/>
      <c r="CH48" s="228">
        <v>182</v>
      </c>
    </row>
    <row r="49" spans="1:118" ht="16.5" thickBot="1" x14ac:dyDescent="0.3">
      <c r="A49" s="29" t="s">
        <v>49</v>
      </c>
      <c r="B49" s="360"/>
      <c r="C49" s="360"/>
      <c r="D49" s="360"/>
      <c r="E49" s="360"/>
      <c r="F49" s="360"/>
      <c r="G49" s="360"/>
      <c r="H49" s="364"/>
      <c r="I49" s="364"/>
      <c r="J49" s="188"/>
      <c r="K49" s="188"/>
      <c r="L49" s="127">
        <f t="shared" si="95"/>
        <v>0</v>
      </c>
      <c r="M49" s="127">
        <f t="shared" si="95"/>
        <v>0</v>
      </c>
      <c r="N49" s="126">
        <v>0</v>
      </c>
      <c r="O49" s="126">
        <v>0</v>
      </c>
      <c r="P49" s="9"/>
      <c r="Q49" s="9"/>
      <c r="R49" s="368"/>
      <c r="S49" s="368"/>
      <c r="T49" s="368"/>
      <c r="U49" s="368"/>
      <c r="V49" s="368"/>
      <c r="W49" s="368"/>
      <c r="X49" s="151"/>
      <c r="Y49" s="151"/>
      <c r="Z49" s="148"/>
      <c r="AA49" s="148"/>
      <c r="AB49" s="153">
        <f t="shared" si="120"/>
        <v>0</v>
      </c>
      <c r="AC49" s="153">
        <f t="shared" si="120"/>
        <v>0</v>
      </c>
      <c r="AD49" s="154">
        <v>0</v>
      </c>
      <c r="AE49" s="154">
        <v>0</v>
      </c>
      <c r="AF49" s="151"/>
      <c r="AG49" s="151"/>
      <c r="AH49" s="155"/>
      <c r="AI49" s="155"/>
      <c r="AJ49" s="156"/>
      <c r="AK49" s="156"/>
      <c r="AL49" s="148"/>
      <c r="AM49" s="148"/>
      <c r="AN49" s="149"/>
      <c r="AO49" s="149"/>
      <c r="AP49" s="150"/>
      <c r="AQ49" s="150"/>
      <c r="AR49" s="368"/>
      <c r="AS49" s="368"/>
      <c r="AT49" s="368"/>
      <c r="AU49" s="368"/>
      <c r="AV49" s="368"/>
      <c r="AW49" s="368"/>
      <c r="AX49" s="148">
        <f t="shared" si="128"/>
        <v>0</v>
      </c>
      <c r="AY49" s="148">
        <f t="shared" si="129"/>
        <v>0</v>
      </c>
      <c r="AZ49" s="168"/>
      <c r="BA49" s="168"/>
      <c r="BB49" s="149">
        <f t="shared" si="121"/>
        <v>0</v>
      </c>
      <c r="BC49" s="149">
        <f t="shared" si="122"/>
        <v>0</v>
      </c>
      <c r="BD49" s="148"/>
      <c r="BE49" s="210">
        <f t="shared" si="123"/>
        <v>0</v>
      </c>
      <c r="BF49" s="148">
        <f t="shared" si="124"/>
        <v>0</v>
      </c>
      <c r="BG49" s="148">
        <f t="shared" si="124"/>
        <v>0</v>
      </c>
      <c r="BH49" s="209"/>
      <c r="BI49" s="150">
        <f t="shared" si="130"/>
        <v>0</v>
      </c>
      <c r="BJ49" s="150">
        <f t="shared" si="130"/>
        <v>0</v>
      </c>
      <c r="BK49" s="153">
        <f t="shared" si="125"/>
        <v>0</v>
      </c>
      <c r="BL49" s="153">
        <f t="shared" si="126"/>
        <v>0</v>
      </c>
      <c r="BM49" s="210">
        <f t="shared" si="127"/>
        <v>0</v>
      </c>
      <c r="BN49" s="368"/>
      <c r="BO49" s="372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374"/>
      <c r="CB49" s="374"/>
      <c r="CC49" s="216"/>
      <c r="CD49" s="216"/>
      <c r="CE49" s="216"/>
      <c r="CF49" s="216"/>
      <c r="CG49" s="230"/>
      <c r="CH49" s="228"/>
    </row>
    <row r="50" spans="1:118" ht="16.5" thickBot="1" x14ac:dyDescent="0.3">
      <c r="A50" s="29" t="s">
        <v>50</v>
      </c>
      <c r="B50" s="360"/>
      <c r="C50" s="360"/>
      <c r="D50" s="360"/>
      <c r="E50" s="360"/>
      <c r="F50" s="360"/>
      <c r="G50" s="360"/>
      <c r="H50" s="364"/>
      <c r="I50" s="364"/>
      <c r="J50" s="188"/>
      <c r="K50" s="188"/>
      <c r="L50" s="127">
        <f t="shared" si="95"/>
        <v>0</v>
      </c>
      <c r="M50" s="127">
        <f t="shared" si="95"/>
        <v>0</v>
      </c>
      <c r="N50" s="126">
        <v>0</v>
      </c>
      <c r="O50" s="126">
        <v>0</v>
      </c>
      <c r="P50" s="9"/>
      <c r="Q50" s="9"/>
      <c r="R50" s="368"/>
      <c r="S50" s="368"/>
      <c r="T50" s="368"/>
      <c r="U50" s="368"/>
      <c r="V50" s="368"/>
      <c r="W50" s="368"/>
      <c r="X50" s="151"/>
      <c r="Y50" s="151"/>
      <c r="Z50" s="148"/>
      <c r="AA50" s="148"/>
      <c r="AB50" s="153">
        <f t="shared" si="120"/>
        <v>0</v>
      </c>
      <c r="AC50" s="153">
        <f t="shared" si="120"/>
        <v>0</v>
      </c>
      <c r="AD50" s="154">
        <v>0</v>
      </c>
      <c r="AE50" s="154">
        <v>0</v>
      </c>
      <c r="AF50" s="151"/>
      <c r="AG50" s="151"/>
      <c r="AH50" s="155"/>
      <c r="AI50" s="155"/>
      <c r="AJ50" s="156"/>
      <c r="AK50" s="156"/>
      <c r="AL50" s="148"/>
      <c r="AM50" s="148"/>
      <c r="AN50" s="149"/>
      <c r="AO50" s="149"/>
      <c r="AP50" s="150"/>
      <c r="AQ50" s="150"/>
      <c r="AR50" s="368"/>
      <c r="AS50" s="368"/>
      <c r="AT50" s="368"/>
      <c r="AU50" s="368"/>
      <c r="AV50" s="368"/>
      <c r="AW50" s="368"/>
      <c r="AX50" s="148">
        <f t="shared" si="128"/>
        <v>0</v>
      </c>
      <c r="AY50" s="148">
        <f t="shared" si="129"/>
        <v>0</v>
      </c>
      <c r="AZ50" s="168"/>
      <c r="BA50" s="168"/>
      <c r="BB50" s="149">
        <f t="shared" si="121"/>
        <v>0</v>
      </c>
      <c r="BC50" s="149">
        <f t="shared" si="122"/>
        <v>0</v>
      </c>
      <c r="BD50" s="148"/>
      <c r="BE50" s="210">
        <f t="shared" si="123"/>
        <v>0</v>
      </c>
      <c r="BF50" s="148">
        <f t="shared" si="124"/>
        <v>0</v>
      </c>
      <c r="BG50" s="148">
        <f t="shared" si="124"/>
        <v>0</v>
      </c>
      <c r="BH50" s="209"/>
      <c r="BI50" s="150">
        <f t="shared" si="130"/>
        <v>0</v>
      </c>
      <c r="BJ50" s="150">
        <f t="shared" si="130"/>
        <v>0</v>
      </c>
      <c r="BK50" s="153">
        <f t="shared" si="125"/>
        <v>0</v>
      </c>
      <c r="BL50" s="153">
        <f t="shared" si="126"/>
        <v>0</v>
      </c>
      <c r="BM50" s="210">
        <f t="shared" si="127"/>
        <v>0</v>
      </c>
      <c r="BN50" s="368"/>
      <c r="BO50" s="372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374"/>
      <c r="CB50" s="374"/>
      <c r="CC50" s="216"/>
      <c r="CD50" s="216"/>
      <c r="CE50" s="216"/>
      <c r="CF50" s="216"/>
      <c r="CG50" s="230"/>
      <c r="CH50" s="228"/>
    </row>
    <row r="51" spans="1:118" ht="16.5" thickBot="1" x14ac:dyDescent="0.3">
      <c r="A51" s="29" t="s">
        <v>51</v>
      </c>
      <c r="B51" s="360">
        <v>19</v>
      </c>
      <c r="C51" s="360">
        <v>84.38</v>
      </c>
      <c r="D51" s="360">
        <v>9</v>
      </c>
      <c r="E51" s="360">
        <v>39.56</v>
      </c>
      <c r="F51" s="360">
        <v>50</v>
      </c>
      <c r="G51" s="360">
        <v>222.28</v>
      </c>
      <c r="H51" s="364">
        <f>B51+D51+F51</f>
        <v>78</v>
      </c>
      <c r="I51" s="364">
        <f>C51+E51+G51</f>
        <v>346.22</v>
      </c>
      <c r="J51" s="188">
        <v>60</v>
      </c>
      <c r="K51" s="188">
        <v>300</v>
      </c>
      <c r="L51" s="127">
        <f t="shared" ref="L51:M53" si="131">J51-H51</f>
        <v>-18</v>
      </c>
      <c r="M51" s="127">
        <f t="shared" si="131"/>
        <v>-46.220000000000027</v>
      </c>
      <c r="N51" s="126">
        <v>35</v>
      </c>
      <c r="O51" s="126">
        <v>138.07999999999998</v>
      </c>
      <c r="P51" s="9">
        <f t="shared" ref="P51:Q53" si="132">N51-H51</f>
        <v>-43</v>
      </c>
      <c r="Q51" s="9">
        <f t="shared" si="132"/>
        <v>-208.14000000000004</v>
      </c>
      <c r="R51" s="368"/>
      <c r="S51" s="368"/>
      <c r="T51" s="368"/>
      <c r="U51" s="368"/>
      <c r="V51" s="368"/>
      <c r="W51" s="368"/>
      <c r="X51" s="151">
        <f>R51+T51+V51</f>
        <v>0</v>
      </c>
      <c r="Y51" s="151">
        <f>S51+U51+W51</f>
        <v>0</v>
      </c>
      <c r="Z51" s="148">
        <v>50</v>
      </c>
      <c r="AA51" s="148">
        <v>200</v>
      </c>
      <c r="AB51" s="153">
        <f t="shared" ref="AB51:AC52" si="133">Z51-X51</f>
        <v>50</v>
      </c>
      <c r="AC51" s="153">
        <f t="shared" si="133"/>
        <v>200</v>
      </c>
      <c r="AD51" s="154">
        <v>12</v>
      </c>
      <c r="AE51" s="154">
        <v>48.33</v>
      </c>
      <c r="AF51" s="151">
        <f t="shared" ref="AF51:AG52" si="134">AD51-X51</f>
        <v>12</v>
      </c>
      <c r="AG51" s="151">
        <f t="shared" si="134"/>
        <v>48.33</v>
      </c>
      <c r="AH51" s="155">
        <f t="shared" ref="AH51:AH52" si="135">H51+X51</f>
        <v>78</v>
      </c>
      <c r="AI51" s="155">
        <f t="shared" ref="AI51:AI52" si="136">I51+Y51</f>
        <v>346.22</v>
      </c>
      <c r="AJ51" s="156">
        <v>47</v>
      </c>
      <c r="AK51" s="156">
        <v>186</v>
      </c>
      <c r="AL51" s="148">
        <f t="shared" ref="AL51:AL52" si="137">J51+Z51</f>
        <v>110</v>
      </c>
      <c r="AM51" s="148">
        <f t="shared" ref="AM51:AM52" si="138">K51+AA51</f>
        <v>500</v>
      </c>
      <c r="AN51" s="149">
        <f t="shared" ref="AN51:AO52" si="139">AL51-AH51</f>
        <v>32</v>
      </c>
      <c r="AO51" s="149">
        <f t="shared" si="139"/>
        <v>153.77999999999997</v>
      </c>
      <c r="AP51" s="150">
        <f t="shared" ref="AP51:AQ52" si="140">AJ51-AH51</f>
        <v>-31</v>
      </c>
      <c r="AQ51" s="150">
        <f t="shared" si="140"/>
        <v>-160.22000000000003</v>
      </c>
      <c r="AR51" s="368"/>
      <c r="AS51" s="368"/>
      <c r="AT51" s="368"/>
      <c r="AU51" s="368"/>
      <c r="AV51" s="368"/>
      <c r="AW51" s="368"/>
      <c r="AX51" s="148">
        <f t="shared" si="128"/>
        <v>0</v>
      </c>
      <c r="AY51" s="148">
        <f t="shared" si="129"/>
        <v>0</v>
      </c>
      <c r="AZ51" s="168">
        <f>10+10+10</f>
        <v>30</v>
      </c>
      <c r="BA51" s="168">
        <f>100+100</f>
        <v>200</v>
      </c>
      <c r="BB51" s="149">
        <f t="shared" si="121"/>
        <v>30</v>
      </c>
      <c r="BC51" s="149">
        <f t="shared" si="122"/>
        <v>200</v>
      </c>
      <c r="BD51" s="148">
        <v>9</v>
      </c>
      <c r="BE51" s="210">
        <f t="shared" si="123"/>
        <v>9</v>
      </c>
      <c r="BF51" s="148">
        <f t="shared" si="124"/>
        <v>78</v>
      </c>
      <c r="BG51" s="148">
        <f t="shared" si="124"/>
        <v>346.22</v>
      </c>
      <c r="BH51" s="209">
        <v>56</v>
      </c>
      <c r="BI51" s="150">
        <f t="shared" si="130"/>
        <v>140</v>
      </c>
      <c r="BJ51" s="150">
        <f t="shared" si="130"/>
        <v>700</v>
      </c>
      <c r="BK51" s="153">
        <f t="shared" si="125"/>
        <v>62</v>
      </c>
      <c r="BL51" s="153">
        <f t="shared" si="126"/>
        <v>353.78</v>
      </c>
      <c r="BM51" s="210">
        <f t="shared" si="127"/>
        <v>-22</v>
      </c>
      <c r="BN51" s="368">
        <v>25</v>
      </c>
      <c r="BO51" s="372">
        <v>108.67</v>
      </c>
      <c r="BP51" s="216">
        <v>28</v>
      </c>
      <c r="BQ51" s="216">
        <v>118.91</v>
      </c>
      <c r="BR51" s="216">
        <v>19</v>
      </c>
      <c r="BS51" s="216">
        <v>79.73</v>
      </c>
      <c r="BT51" s="216">
        <f>BN51+BP51+BR51</f>
        <v>72</v>
      </c>
      <c r="BU51" s="216">
        <f>BO51+BQ51+BS51</f>
        <v>307.31</v>
      </c>
      <c r="BV51" s="216">
        <v>60</v>
      </c>
      <c r="BW51" s="216">
        <v>300</v>
      </c>
      <c r="BX51" s="216">
        <f>BV51-BT51</f>
        <v>-12</v>
      </c>
      <c r="BY51" s="216">
        <f>BW51-BU51</f>
        <v>-7.3100000000000023</v>
      </c>
      <c r="BZ51" s="216">
        <v>75</v>
      </c>
      <c r="CA51" s="374">
        <f>B51+D51+F51+R51+T51+V51+AR51+AT51+AV51+BN51+BP51+BR51</f>
        <v>150</v>
      </c>
      <c r="CB51" s="374">
        <f>C51+E51+G51+S51+U51+W51+AS51+AU51+AW51+BO51+BQ51+BS51</f>
        <v>653.53000000000009</v>
      </c>
      <c r="CC51" s="216">
        <v>200</v>
      </c>
      <c r="CD51" s="216">
        <v>1000</v>
      </c>
      <c r="CE51" s="216">
        <f>CC51-CA51</f>
        <v>50</v>
      </c>
      <c r="CF51" s="216">
        <f>CD51-CB51</f>
        <v>346.46999999999991</v>
      </c>
      <c r="CG51" s="230">
        <v>131</v>
      </c>
      <c r="CH51" s="228">
        <v>699</v>
      </c>
    </row>
    <row r="52" spans="1:118" ht="16.5" thickBot="1" x14ac:dyDescent="0.3">
      <c r="A52" s="29" t="s">
        <v>52</v>
      </c>
      <c r="B52" s="360">
        <v>20</v>
      </c>
      <c r="C52" s="360">
        <v>88.82</v>
      </c>
      <c r="D52" s="360">
        <v>16</v>
      </c>
      <c r="E52" s="360">
        <v>70.33</v>
      </c>
      <c r="F52" s="360">
        <v>18</v>
      </c>
      <c r="G52" s="360">
        <v>80.02</v>
      </c>
      <c r="H52" s="364">
        <f>B52+D52+F52</f>
        <v>54</v>
      </c>
      <c r="I52" s="364">
        <f>C52+E52+G52</f>
        <v>239.16999999999996</v>
      </c>
      <c r="J52" s="188">
        <v>90</v>
      </c>
      <c r="K52" s="188">
        <v>500</v>
      </c>
      <c r="L52" s="127">
        <f t="shared" si="131"/>
        <v>36</v>
      </c>
      <c r="M52" s="127">
        <f t="shared" si="131"/>
        <v>260.83000000000004</v>
      </c>
      <c r="N52" s="126">
        <v>48</v>
      </c>
      <c r="O52" s="126">
        <v>189.49</v>
      </c>
      <c r="P52" s="9">
        <f t="shared" si="132"/>
        <v>-6</v>
      </c>
      <c r="Q52" s="9">
        <f t="shared" si="132"/>
        <v>-49.67999999999995</v>
      </c>
      <c r="R52" s="368">
        <v>15</v>
      </c>
      <c r="S52" s="368">
        <v>67.959999999999994</v>
      </c>
      <c r="T52" s="368">
        <v>2</v>
      </c>
      <c r="U52" s="368">
        <v>9.06</v>
      </c>
      <c r="V52" s="368">
        <v>41</v>
      </c>
      <c r="W52" s="368">
        <v>188.56</v>
      </c>
      <c r="X52" s="151">
        <f>R52+T52+V52</f>
        <v>58</v>
      </c>
      <c r="Y52" s="151">
        <f>S52+U52+W52</f>
        <v>265.58</v>
      </c>
      <c r="Z52" s="148">
        <v>60</v>
      </c>
      <c r="AA52" s="148">
        <v>300</v>
      </c>
      <c r="AB52" s="153">
        <f t="shared" si="133"/>
        <v>2</v>
      </c>
      <c r="AC52" s="153">
        <f t="shared" si="133"/>
        <v>34.420000000000016</v>
      </c>
      <c r="AD52" s="154">
        <v>17</v>
      </c>
      <c r="AE52" s="154">
        <v>66.430000000000007</v>
      </c>
      <c r="AF52" s="151">
        <f t="shared" si="134"/>
        <v>-41</v>
      </c>
      <c r="AG52" s="151">
        <f t="shared" si="134"/>
        <v>-199.14999999999998</v>
      </c>
      <c r="AH52" s="155">
        <f t="shared" si="135"/>
        <v>112</v>
      </c>
      <c r="AI52" s="155">
        <f t="shared" si="136"/>
        <v>504.74999999999994</v>
      </c>
      <c r="AJ52" s="156">
        <v>65</v>
      </c>
      <c r="AK52" s="156">
        <v>256</v>
      </c>
      <c r="AL52" s="148">
        <f t="shared" si="137"/>
        <v>150</v>
      </c>
      <c r="AM52" s="148">
        <f t="shared" si="138"/>
        <v>800</v>
      </c>
      <c r="AN52" s="149">
        <f t="shared" si="139"/>
        <v>38</v>
      </c>
      <c r="AO52" s="149">
        <f t="shared" si="139"/>
        <v>295.25000000000006</v>
      </c>
      <c r="AP52" s="150">
        <f t="shared" si="140"/>
        <v>-47</v>
      </c>
      <c r="AQ52" s="150">
        <f t="shared" si="140"/>
        <v>-248.74999999999994</v>
      </c>
      <c r="AR52" s="368"/>
      <c r="AS52" s="368"/>
      <c r="AT52" s="368"/>
      <c r="AU52" s="368"/>
      <c r="AV52" s="368">
        <v>33</v>
      </c>
      <c r="AW52" s="368">
        <v>143.25</v>
      </c>
      <c r="AX52" s="148">
        <f t="shared" si="128"/>
        <v>33</v>
      </c>
      <c r="AY52" s="148">
        <f t="shared" si="129"/>
        <v>143.25</v>
      </c>
      <c r="AZ52" s="168">
        <f>20+20+20</f>
        <v>60</v>
      </c>
      <c r="BA52" s="168">
        <f>100+100+100</f>
        <v>300</v>
      </c>
      <c r="BB52" s="149">
        <f t="shared" si="121"/>
        <v>27</v>
      </c>
      <c r="BC52" s="149">
        <f t="shared" si="122"/>
        <v>156.75</v>
      </c>
      <c r="BD52" s="148">
        <v>0</v>
      </c>
      <c r="BE52" s="210">
        <f t="shared" si="123"/>
        <v>-33</v>
      </c>
      <c r="BF52" s="148">
        <f t="shared" si="124"/>
        <v>145</v>
      </c>
      <c r="BG52" s="148">
        <f t="shared" si="124"/>
        <v>648</v>
      </c>
      <c r="BH52" s="209">
        <v>65</v>
      </c>
      <c r="BI52" s="150">
        <f t="shared" si="130"/>
        <v>210</v>
      </c>
      <c r="BJ52" s="150">
        <f t="shared" si="130"/>
        <v>1100</v>
      </c>
      <c r="BK52" s="153">
        <f t="shared" si="125"/>
        <v>65</v>
      </c>
      <c r="BL52" s="153">
        <f t="shared" si="126"/>
        <v>452</v>
      </c>
      <c r="BM52" s="210">
        <f t="shared" si="127"/>
        <v>-80</v>
      </c>
      <c r="BN52" s="368"/>
      <c r="BO52" s="372"/>
      <c r="BP52" s="216">
        <v>0</v>
      </c>
      <c r="BQ52" s="216">
        <v>0</v>
      </c>
      <c r="BR52" s="216">
        <v>0</v>
      </c>
      <c r="BS52" s="216">
        <v>0</v>
      </c>
      <c r="BT52" s="216">
        <f>BN52+BP52+BR52</f>
        <v>0</v>
      </c>
      <c r="BU52" s="216">
        <f>BO52+BQ52+BS52</f>
        <v>0</v>
      </c>
      <c r="BV52" s="216">
        <v>90</v>
      </c>
      <c r="BW52" s="216">
        <v>400</v>
      </c>
      <c r="BX52" s="216">
        <f>BV52-BT52</f>
        <v>90</v>
      </c>
      <c r="BY52" s="216">
        <f>BW52-BU52</f>
        <v>400</v>
      </c>
      <c r="BZ52" s="216">
        <v>63</v>
      </c>
      <c r="CA52" s="374">
        <f>B52+D52+F52+R52+T52+V52+AR52+AT52+AV52+BN52+BP52+BR52</f>
        <v>145</v>
      </c>
      <c r="CB52" s="374">
        <f>C52+E52+G52+S52+U52+W52+AS52+AU52+AW52+BO52+BQ52+BS52</f>
        <v>648</v>
      </c>
      <c r="CC52" s="216">
        <v>300</v>
      </c>
      <c r="CD52" s="216">
        <v>1500</v>
      </c>
      <c r="CE52" s="216">
        <f>CC52-CA52</f>
        <v>155</v>
      </c>
      <c r="CF52" s="216">
        <f>CD52-CB52</f>
        <v>852</v>
      </c>
      <c r="CG52" s="230">
        <v>128</v>
      </c>
      <c r="CH52" s="228">
        <v>405</v>
      </c>
    </row>
    <row r="53" spans="1:118" s="36" customFormat="1" ht="16.5" thickBot="1" x14ac:dyDescent="0.3">
      <c r="A53" s="176" t="s">
        <v>53</v>
      </c>
      <c r="B53" s="38">
        <f>B27+B28+B29+B32+B31+B44+B43+B30</f>
        <v>5571</v>
      </c>
      <c r="C53" s="38">
        <f>C27+C28+C29+C32+C31+C44+C43+C30</f>
        <v>22644.18</v>
      </c>
      <c r="D53" s="38">
        <f>D27+D28+D29+D32+D31+D44+D43+D30</f>
        <v>5809</v>
      </c>
      <c r="E53" s="38">
        <f>E27+E28+E29+E31+E32+E43+E44+E30</f>
        <v>23359.03</v>
      </c>
      <c r="F53" s="38">
        <f>F27+F28+F29+F31+F32+F44+F30</f>
        <v>5149</v>
      </c>
      <c r="G53" s="38">
        <f>G27+G28+G29+G31+G32+G43+G44+G30</f>
        <v>20902.79</v>
      </c>
      <c r="H53" s="38">
        <f>H27+H28+H29+H31+H32+H43+H44+H30</f>
        <v>16529</v>
      </c>
      <c r="I53" s="38">
        <f>I28+I29+I30+I31+I32+I44</f>
        <v>66905.999999999985</v>
      </c>
      <c r="J53" s="38">
        <f>J27+J28+J29+J32+J31+J44+J43+J30</f>
        <v>16300</v>
      </c>
      <c r="K53" s="38">
        <f>K27+K28+K29+K32+K31+K44+K43+K30</f>
        <v>74100</v>
      </c>
      <c r="L53" s="38">
        <f t="shared" si="131"/>
        <v>-229</v>
      </c>
      <c r="M53" s="38">
        <f t="shared" si="131"/>
        <v>7194.0000000000146</v>
      </c>
      <c r="N53" s="38">
        <v>35151</v>
      </c>
      <c r="O53" s="38">
        <v>133958.35999999999</v>
      </c>
      <c r="P53" s="38">
        <f t="shared" si="132"/>
        <v>18622</v>
      </c>
      <c r="Q53" s="38">
        <f t="shared" si="132"/>
        <v>67052.36</v>
      </c>
      <c r="R53" s="157">
        <f>R27+R28+R29+R32+R31+R44+R43+R30</f>
        <v>5141</v>
      </c>
      <c r="S53" s="157">
        <f>S27+S28+S29+S32+S31+S44+S43+S30</f>
        <v>21056.63</v>
      </c>
      <c r="T53" s="157">
        <f>T27+T28+T29+T32+T31+T44+T43+T30</f>
        <v>3242</v>
      </c>
      <c r="U53" s="157">
        <f>U27+U28+U29+U31+U32+U43+U44+U30</f>
        <v>13094.05</v>
      </c>
      <c r="V53" s="157">
        <f>V27+V28+V29+V31+V32+V44+V30</f>
        <v>2341</v>
      </c>
      <c r="W53" s="157">
        <f>W27+W28+W29+W31+W32+W43+W44+W30</f>
        <v>9554.84</v>
      </c>
      <c r="X53" s="157">
        <f>X27+X28+X29+X31+X32+X43+X44+X30</f>
        <v>10724</v>
      </c>
      <c r="Y53" s="157">
        <f>Y28+Y29+Y30+Y31+Y32+Y44</f>
        <v>43705.52</v>
      </c>
      <c r="Z53" s="157">
        <f>Z27+Z28+Z29+Z32+Z31+Z44+Z43+Z30</f>
        <v>10330</v>
      </c>
      <c r="AA53" s="157">
        <f>AA27+AA28+AA29+AA32+AA31+AA44+AA43+AA30</f>
        <v>48420</v>
      </c>
      <c r="AB53" s="157">
        <f t="shared" ref="AB53:BL53" si="141">AB44+AB32+AB31+AB30+AB29+AB28+AB27</f>
        <v>-394</v>
      </c>
      <c r="AC53" s="157">
        <f t="shared" si="141"/>
        <v>4714.4800000000023</v>
      </c>
      <c r="AD53" s="157">
        <f t="shared" si="141"/>
        <v>15391</v>
      </c>
      <c r="AE53" s="157">
        <f t="shared" si="141"/>
        <v>57470.57</v>
      </c>
      <c r="AF53" s="157">
        <f t="shared" si="141"/>
        <v>4667</v>
      </c>
      <c r="AG53" s="157">
        <f t="shared" si="141"/>
        <v>13765.050000000003</v>
      </c>
      <c r="AH53" s="157">
        <f t="shared" si="141"/>
        <v>27253</v>
      </c>
      <c r="AI53" s="157">
        <f t="shared" si="141"/>
        <v>110611.51999999999</v>
      </c>
      <c r="AJ53" s="157">
        <f t="shared" si="141"/>
        <v>50559</v>
      </c>
      <c r="AK53" s="157">
        <f t="shared" si="141"/>
        <v>191429</v>
      </c>
      <c r="AL53" s="157">
        <f t="shared" si="141"/>
        <v>26630</v>
      </c>
      <c r="AM53" s="157">
        <f t="shared" si="141"/>
        <v>122520</v>
      </c>
      <c r="AN53" s="157">
        <f t="shared" si="141"/>
        <v>-623</v>
      </c>
      <c r="AO53" s="157">
        <f t="shared" si="141"/>
        <v>11908.480000000007</v>
      </c>
      <c r="AP53" s="157">
        <f t="shared" si="141"/>
        <v>23306</v>
      </c>
      <c r="AQ53" s="157">
        <f t="shared" si="141"/>
        <v>80817.48000000001</v>
      </c>
      <c r="AR53" s="157">
        <f t="shared" si="141"/>
        <v>1748</v>
      </c>
      <c r="AS53" s="157">
        <f t="shared" si="141"/>
        <v>6934.18</v>
      </c>
      <c r="AT53" s="157">
        <f t="shared" si="141"/>
        <v>1985</v>
      </c>
      <c r="AU53" s="157">
        <f t="shared" si="141"/>
        <v>7598.76</v>
      </c>
      <c r="AV53" s="157">
        <f t="shared" si="141"/>
        <v>4387</v>
      </c>
      <c r="AW53" s="157">
        <f t="shared" si="141"/>
        <v>17270.09</v>
      </c>
      <c r="AX53" s="157">
        <f t="shared" si="141"/>
        <v>8120</v>
      </c>
      <c r="AY53" s="157">
        <f t="shared" si="141"/>
        <v>31803.03</v>
      </c>
      <c r="AZ53" s="157">
        <f t="shared" si="141"/>
        <v>6810</v>
      </c>
      <c r="BA53" s="157">
        <f t="shared" si="141"/>
        <v>25200</v>
      </c>
      <c r="BB53" s="157">
        <f t="shared" si="141"/>
        <v>-1310</v>
      </c>
      <c r="BC53" s="157">
        <f t="shared" si="141"/>
        <v>-6603.0299999999979</v>
      </c>
      <c r="BD53" s="157">
        <f>BD44+BD32+BD31+BD30+BD29+BD28+BD27</f>
        <v>6902</v>
      </c>
      <c r="BE53" s="157">
        <f>BE44+BE32+BE31+BE30+BE29+BE28+BE27</f>
        <v>-1218</v>
      </c>
      <c r="BF53" s="157">
        <f t="shared" si="141"/>
        <v>35373</v>
      </c>
      <c r="BG53" s="157">
        <f t="shared" si="141"/>
        <v>142414.54999999999</v>
      </c>
      <c r="BH53" s="158">
        <f>BH44+BH32+BH31+BH30+BH29+BH28+BH27</f>
        <v>57461</v>
      </c>
      <c r="BI53" s="157">
        <f t="shared" si="141"/>
        <v>33440</v>
      </c>
      <c r="BJ53" s="157">
        <f t="shared" si="141"/>
        <v>147720</v>
      </c>
      <c r="BK53" s="157">
        <f t="shared" si="141"/>
        <v>-1933</v>
      </c>
      <c r="BL53" s="157">
        <f t="shared" si="141"/>
        <v>5305.4500000000153</v>
      </c>
      <c r="BM53" s="157">
        <f>BM44+BM32+BM31+BM30+BM29+BM28+BM27</f>
        <v>22088</v>
      </c>
      <c r="BN53" s="157">
        <f>BN44+BN32+BN31+BN30+BN29+BN28+BN27</f>
        <v>4894</v>
      </c>
      <c r="BO53" s="213">
        <f t="shared" ref="BO53" si="142">BO44+BO32+BO31+BO30+BO29+BO28+BO27</f>
        <v>18944.739999999998</v>
      </c>
      <c r="BP53" s="219">
        <f t="shared" ref="BP53:CG53" si="143">BP44+BP32+BP31+BP30+BP29+BP28</f>
        <v>6389</v>
      </c>
      <c r="BQ53" s="219">
        <f t="shared" si="143"/>
        <v>26775.059999999998</v>
      </c>
      <c r="BR53" s="219">
        <f t="shared" si="143"/>
        <v>5605</v>
      </c>
      <c r="BS53" s="219">
        <f t="shared" si="143"/>
        <v>21183.66</v>
      </c>
      <c r="BT53" s="217">
        <f t="shared" si="143"/>
        <v>16888</v>
      </c>
      <c r="BU53" s="217">
        <f t="shared" si="143"/>
        <v>66903.459999999992</v>
      </c>
      <c r="BV53" s="217">
        <f t="shared" si="143"/>
        <v>15660</v>
      </c>
      <c r="BW53" s="217">
        <f t="shared" si="143"/>
        <v>71500</v>
      </c>
      <c r="BX53" s="217">
        <f t="shared" si="143"/>
        <v>-1228</v>
      </c>
      <c r="BY53" s="217">
        <f t="shared" si="143"/>
        <v>4596.5399999999991</v>
      </c>
      <c r="BZ53" s="217">
        <f t="shared" si="143"/>
        <v>17531</v>
      </c>
      <c r="CA53" s="217">
        <f t="shared" si="143"/>
        <v>52261</v>
      </c>
      <c r="CB53" s="217">
        <f t="shared" si="143"/>
        <v>209680.93</v>
      </c>
      <c r="CC53" s="217">
        <f t="shared" si="143"/>
        <v>49100</v>
      </c>
      <c r="CD53" s="217">
        <f t="shared" si="143"/>
        <v>222700</v>
      </c>
      <c r="CE53" s="217">
        <f>CE44+CE32+CE31+CE30+CE29+CE28</f>
        <v>-3161</v>
      </c>
      <c r="CF53" s="217">
        <f t="shared" si="143"/>
        <v>13019.069999999987</v>
      </c>
      <c r="CG53" s="223">
        <f t="shared" si="143"/>
        <v>74992</v>
      </c>
      <c r="CH53" s="225">
        <f>CH44+CH32+CH31+CH30+CH29+CH28+CH27</f>
        <v>87369</v>
      </c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1"/>
      <c r="DE53" s="221"/>
      <c r="DF53" s="221"/>
      <c r="DG53" s="221"/>
      <c r="DH53" s="221"/>
      <c r="DI53" s="221"/>
      <c r="DJ53" s="221"/>
      <c r="DK53" s="221"/>
      <c r="DL53" s="221"/>
      <c r="DM53" s="221"/>
      <c r="DN53" s="221"/>
    </row>
    <row r="54" spans="1:118" ht="16.5" thickBot="1" x14ac:dyDescent="0.3">
      <c r="A54" s="30"/>
      <c r="B54" s="360"/>
      <c r="C54" s="360"/>
      <c r="D54" s="360"/>
      <c r="E54" s="360"/>
      <c r="F54" s="360"/>
      <c r="G54" s="360"/>
      <c r="H54" s="364"/>
      <c r="I54" s="364"/>
      <c r="J54" s="188"/>
      <c r="K54" s="188"/>
      <c r="L54" s="127"/>
      <c r="M54" s="127"/>
      <c r="N54" s="126"/>
      <c r="O54" s="126"/>
      <c r="P54" s="9"/>
      <c r="Q54" s="9"/>
      <c r="R54" s="369"/>
      <c r="S54" s="369"/>
      <c r="T54" s="369"/>
      <c r="U54" s="369"/>
      <c r="V54" s="369"/>
      <c r="W54" s="369"/>
      <c r="X54" s="162"/>
      <c r="Y54" s="162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54"/>
      <c r="AM54" s="154"/>
      <c r="AN54" s="154"/>
      <c r="AO54" s="154"/>
      <c r="AP54" s="154"/>
      <c r="AQ54" s="154"/>
      <c r="AR54" s="368"/>
      <c r="AS54" s="368"/>
      <c r="AT54" s="368"/>
      <c r="AU54" s="368"/>
      <c r="AV54" s="368"/>
      <c r="AW54" s="368"/>
      <c r="AX54" s="154"/>
      <c r="AY54" s="154"/>
      <c r="AZ54" s="168"/>
      <c r="BA54" s="168"/>
      <c r="BB54" s="154"/>
      <c r="BC54" s="154"/>
      <c r="BD54" s="154"/>
      <c r="BE54" s="210"/>
      <c r="BF54" s="154"/>
      <c r="BG54" s="154"/>
      <c r="BH54" s="209"/>
      <c r="BI54" s="154"/>
      <c r="BJ54" s="154"/>
      <c r="BK54" s="161"/>
      <c r="BL54" s="161"/>
      <c r="BM54" s="210"/>
      <c r="BN54" s="368"/>
      <c r="BO54" s="372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374"/>
      <c r="CB54" s="374"/>
      <c r="CC54" s="216"/>
      <c r="CD54" s="216"/>
      <c r="CE54" s="216"/>
      <c r="CF54" s="216"/>
      <c r="CG54" s="230"/>
      <c r="CH54" s="228"/>
    </row>
    <row r="55" spans="1:118" ht="16.5" thickBot="1" x14ac:dyDescent="0.3">
      <c r="A55" s="173" t="s">
        <v>54</v>
      </c>
      <c r="B55" s="361">
        <v>9990</v>
      </c>
      <c r="C55" s="361">
        <v>38406.29</v>
      </c>
      <c r="D55" s="361">
        <v>6229</v>
      </c>
      <c r="E55" s="361">
        <v>23663.8</v>
      </c>
      <c r="F55" s="361">
        <v>6305</v>
      </c>
      <c r="G55" s="361">
        <v>24373.8</v>
      </c>
      <c r="H55" s="365">
        <f>B55+D55+F55</f>
        <v>22524</v>
      </c>
      <c r="I55" s="365">
        <f>C55+E55+G55</f>
        <v>86443.89</v>
      </c>
      <c r="J55" s="189">
        <f>10000+6200+6400</f>
        <v>22600</v>
      </c>
      <c r="K55" s="189">
        <f>42000+26000+26900</f>
        <v>94900</v>
      </c>
      <c r="L55" s="177">
        <f>J55-H55</f>
        <v>76</v>
      </c>
      <c r="M55" s="177">
        <f>K55-I55</f>
        <v>8456.11</v>
      </c>
      <c r="N55" s="178">
        <v>18803</v>
      </c>
      <c r="O55" s="178">
        <v>65489.919999999998</v>
      </c>
      <c r="P55" s="190">
        <f>N55-J55</f>
        <v>-3797</v>
      </c>
      <c r="Q55" s="190">
        <f>O55-K55</f>
        <v>-29410.080000000002</v>
      </c>
      <c r="R55" s="369">
        <v>6410</v>
      </c>
      <c r="S55" s="369">
        <v>25248.31</v>
      </c>
      <c r="T55" s="369">
        <v>5517</v>
      </c>
      <c r="U55" s="369">
        <v>21465.66</v>
      </c>
      <c r="V55" s="369">
        <v>4312</v>
      </c>
      <c r="W55" s="369">
        <v>17037.650000000001</v>
      </c>
      <c r="X55" s="162">
        <f>R55+T55+V55</f>
        <v>16239</v>
      </c>
      <c r="Y55" s="162">
        <f>S55+U55+W55</f>
        <v>63751.62</v>
      </c>
      <c r="Z55" s="159">
        <f>6400+5600+4300</f>
        <v>16300</v>
      </c>
      <c r="AA55" s="159">
        <f>26900+23500+18100</f>
        <v>68500</v>
      </c>
      <c r="AB55" s="160">
        <f>Z55-X55</f>
        <v>61</v>
      </c>
      <c r="AC55" s="160">
        <f>AA55-Y55</f>
        <v>4748.3799999999974</v>
      </c>
      <c r="AD55" s="161">
        <v>15711</v>
      </c>
      <c r="AE55" s="161">
        <v>55141.5</v>
      </c>
      <c r="AF55" s="162">
        <f>AD55-X55</f>
        <v>-528</v>
      </c>
      <c r="AG55" s="162">
        <f>AE55-Y55</f>
        <v>-8610.1200000000026</v>
      </c>
      <c r="AH55" s="163">
        <f t="shared" ref="AH55" si="144">H55+X55</f>
        <v>38763</v>
      </c>
      <c r="AI55" s="163">
        <f t="shared" ref="AI55" si="145">I55+Y55</f>
        <v>150195.51</v>
      </c>
      <c r="AJ55" s="164">
        <v>34514</v>
      </c>
      <c r="AK55" s="164">
        <v>120631</v>
      </c>
      <c r="AL55" s="159">
        <f t="shared" ref="AL55" si="146">J55+Z55</f>
        <v>38900</v>
      </c>
      <c r="AM55" s="159">
        <f t="shared" ref="AM55" si="147">K55+AA55</f>
        <v>163400</v>
      </c>
      <c r="AN55" s="165">
        <f>AL55-AH55</f>
        <v>137</v>
      </c>
      <c r="AO55" s="165">
        <f>AM55-AI55</f>
        <v>13204.489999999991</v>
      </c>
      <c r="AP55" s="166">
        <f>AJ55-AH55</f>
        <v>-4249</v>
      </c>
      <c r="AQ55" s="166">
        <f>AK55-AI55</f>
        <v>-29564.510000000009</v>
      </c>
      <c r="AR55" s="368">
        <v>4342</v>
      </c>
      <c r="AS55" s="368">
        <v>16595.060000000001</v>
      </c>
      <c r="AT55" s="368">
        <f>3255+37</f>
        <v>3292</v>
      </c>
      <c r="AU55" s="368">
        <v>12310.2</v>
      </c>
      <c r="AV55" s="368">
        <f>4006+217</f>
        <v>4223</v>
      </c>
      <c r="AW55" s="368">
        <v>15668.19</v>
      </c>
      <c r="AX55" s="148">
        <f t="shared" ref="AX55:AX68" si="148">AR55+AT55+AV55</f>
        <v>11857</v>
      </c>
      <c r="AY55" s="148">
        <f t="shared" ref="AY55:AY68" si="149">AS55+AU55+AW55</f>
        <v>44573.450000000004</v>
      </c>
      <c r="AZ55" s="168">
        <f>15000</f>
        <v>15000</v>
      </c>
      <c r="BA55" s="168">
        <f>21000+21000+21000</f>
        <v>63000</v>
      </c>
      <c r="BB55" s="149">
        <f t="shared" ref="BB55" si="150">AZ55-AX55</f>
        <v>3143</v>
      </c>
      <c r="BC55" s="149">
        <f t="shared" ref="BC55" si="151">BA55-AY55</f>
        <v>18426.549999999996</v>
      </c>
      <c r="BD55" s="148">
        <v>13344</v>
      </c>
      <c r="BE55" s="210">
        <f t="shared" ref="BE55" si="152">BD55-AX55</f>
        <v>1487</v>
      </c>
      <c r="BF55" s="148">
        <f>AH55+AX55</f>
        <v>50620</v>
      </c>
      <c r="BG55" s="148">
        <f>AI55+AY55</f>
        <v>194768.96000000002</v>
      </c>
      <c r="BH55" s="209">
        <v>47858</v>
      </c>
      <c r="BI55" s="150">
        <f>AL55+AZ55</f>
        <v>53900</v>
      </c>
      <c r="BJ55" s="150">
        <f>AM55+BA55</f>
        <v>226400</v>
      </c>
      <c r="BK55" s="160">
        <f t="shared" ref="BK55:BK68" si="153">BI55-BF55</f>
        <v>3280</v>
      </c>
      <c r="BL55" s="160">
        <f t="shared" ref="BL55:BL68" si="154">BJ55-BG55</f>
        <v>31631.039999999979</v>
      </c>
      <c r="BM55" s="212">
        <f t="shared" ref="BM55" si="155">BH55-BF55</f>
        <v>-2762</v>
      </c>
      <c r="BN55" s="368">
        <f>4567+822</f>
        <v>5389</v>
      </c>
      <c r="BO55" s="372">
        <v>20388.34</v>
      </c>
      <c r="BP55" s="216">
        <v>5222</v>
      </c>
      <c r="BQ55" s="216">
        <v>19307.34</v>
      </c>
      <c r="BR55" s="216">
        <v>6511</v>
      </c>
      <c r="BS55" s="216">
        <v>23803</v>
      </c>
      <c r="BT55" s="216">
        <f>BN55+BP55+BR55</f>
        <v>17122</v>
      </c>
      <c r="BU55" s="216">
        <f>BO55+BQ55+BS55</f>
        <v>63498.68</v>
      </c>
      <c r="BV55" s="216">
        <v>20100</v>
      </c>
      <c r="BW55" s="216">
        <v>84400</v>
      </c>
      <c r="BX55" s="216">
        <f>BV55-BT55</f>
        <v>2978</v>
      </c>
      <c r="BY55" s="216">
        <f>BW55-BU55</f>
        <v>20901.32</v>
      </c>
      <c r="BZ55" s="216">
        <v>19346</v>
      </c>
      <c r="CA55" s="374">
        <f>B55+D55+F55+R55+T55+V55+AR55+AT55+AV55+BN55+BP55+BR55</f>
        <v>67742</v>
      </c>
      <c r="CB55" s="374">
        <f>C55+E55+G55+S55+U55+W55+AS55+AU55+AW55+BO55+BQ55+BS55</f>
        <v>258267.63999999998</v>
      </c>
      <c r="CC55" s="216">
        <v>68000</v>
      </c>
      <c r="CD55" s="216">
        <v>285600</v>
      </c>
      <c r="CE55" s="216">
        <f>CC55-CA55</f>
        <v>258</v>
      </c>
      <c r="CF55" s="216">
        <f>CD55-CB55</f>
        <v>27332.360000000015</v>
      </c>
      <c r="CG55" s="230">
        <v>67204</v>
      </c>
      <c r="CH55" s="228">
        <v>72024</v>
      </c>
    </row>
    <row r="56" spans="1:118" ht="16.5" thickBot="1" x14ac:dyDescent="0.3">
      <c r="A56" s="169" t="s">
        <v>55</v>
      </c>
      <c r="B56" s="360"/>
      <c r="C56" s="360"/>
      <c r="D56" s="360"/>
      <c r="E56" s="360"/>
      <c r="F56" s="360"/>
      <c r="G56" s="360"/>
      <c r="H56" s="364"/>
      <c r="I56" s="364"/>
      <c r="J56" s="188"/>
      <c r="K56" s="188"/>
      <c r="L56" s="127"/>
      <c r="M56" s="127"/>
      <c r="N56" s="126"/>
      <c r="O56" s="126"/>
      <c r="P56" s="9"/>
      <c r="Q56" s="9"/>
      <c r="R56" s="368"/>
      <c r="S56" s="368"/>
      <c r="T56" s="368"/>
      <c r="U56" s="368"/>
      <c r="V56" s="368"/>
      <c r="W56" s="368"/>
      <c r="X56" s="151"/>
      <c r="Y56" s="151"/>
      <c r="Z56" s="148"/>
      <c r="AA56" s="148"/>
      <c r="AB56" s="152"/>
      <c r="AC56" s="152"/>
      <c r="AD56" s="154"/>
      <c r="AE56" s="154"/>
      <c r="AF56" s="151"/>
      <c r="AG56" s="151"/>
      <c r="AH56" s="155"/>
      <c r="AI56" s="155"/>
      <c r="AJ56" s="156"/>
      <c r="AK56" s="156"/>
      <c r="AL56" s="148"/>
      <c r="AM56" s="148"/>
      <c r="AN56" s="149"/>
      <c r="AO56" s="149"/>
      <c r="AP56" s="150"/>
      <c r="AQ56" s="150"/>
      <c r="AR56" s="368"/>
      <c r="AS56" s="368"/>
      <c r="AT56" s="368"/>
      <c r="AU56" s="368"/>
      <c r="AV56" s="368"/>
      <c r="AW56" s="368"/>
      <c r="AX56" s="148"/>
      <c r="AY56" s="148"/>
      <c r="AZ56" s="168"/>
      <c r="BA56" s="168"/>
      <c r="BB56" s="149"/>
      <c r="BC56" s="149"/>
      <c r="BD56" s="148"/>
      <c r="BE56" s="210"/>
      <c r="BF56" s="148"/>
      <c r="BG56" s="148"/>
      <c r="BH56" s="209"/>
      <c r="BI56" s="150"/>
      <c r="BJ56" s="150"/>
      <c r="BK56" s="153"/>
      <c r="BL56" s="153"/>
      <c r="BM56" s="210"/>
      <c r="BN56" s="368"/>
      <c r="BO56" s="372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374"/>
      <c r="CB56" s="374"/>
      <c r="CC56" s="216"/>
      <c r="CD56" s="216"/>
      <c r="CE56" s="216"/>
      <c r="CF56" s="216"/>
      <c r="CG56" s="230"/>
      <c r="CH56" s="228"/>
    </row>
    <row r="57" spans="1:118" ht="16.5" thickBot="1" x14ac:dyDescent="0.3">
      <c r="A57" s="29" t="s">
        <v>56</v>
      </c>
      <c r="B57" s="360">
        <v>7733</v>
      </c>
      <c r="C57" s="360">
        <v>29150.78</v>
      </c>
      <c r="D57" s="360">
        <v>5908</v>
      </c>
      <c r="E57" s="360">
        <v>22031.91</v>
      </c>
      <c r="F57" s="360">
        <v>7008</v>
      </c>
      <c r="G57" s="360">
        <v>26576.89</v>
      </c>
      <c r="H57" s="364">
        <f t="shared" ref="H57:I64" si="156">B57+D57+F57</f>
        <v>20649</v>
      </c>
      <c r="I57" s="364">
        <f t="shared" si="156"/>
        <v>77759.58</v>
      </c>
      <c r="J57" s="188">
        <v>16900</v>
      </c>
      <c r="K57" s="188">
        <v>77740</v>
      </c>
      <c r="L57" s="127">
        <f t="shared" ref="L57:M64" si="157">J57-H57</f>
        <v>-3749</v>
      </c>
      <c r="M57" s="127">
        <f t="shared" si="157"/>
        <v>-19.580000000001746</v>
      </c>
      <c r="N57" s="126">
        <v>17310</v>
      </c>
      <c r="O57" s="126">
        <v>59175.320000000007</v>
      </c>
      <c r="P57" s="9">
        <f t="shared" ref="P57:Q64" si="158">N57-H57</f>
        <v>-3339</v>
      </c>
      <c r="Q57" s="9">
        <f t="shared" si="158"/>
        <v>-18584.259999999995</v>
      </c>
      <c r="R57" s="368">
        <v>5340</v>
      </c>
      <c r="S57" s="368">
        <v>20721.560000000001</v>
      </c>
      <c r="T57" s="368">
        <v>4607</v>
      </c>
      <c r="U57" s="368">
        <v>17909.07</v>
      </c>
      <c r="V57" s="368">
        <v>4768</v>
      </c>
      <c r="W57" s="368">
        <v>18853.689999999999</v>
      </c>
      <c r="X57" s="151">
        <f t="shared" ref="X57:Y64" si="159">R57+T57+V57</f>
        <v>14715</v>
      </c>
      <c r="Y57" s="151">
        <f t="shared" si="159"/>
        <v>57484.320000000007</v>
      </c>
      <c r="Z57" s="148">
        <v>14100</v>
      </c>
      <c r="AA57" s="148">
        <v>60600</v>
      </c>
      <c r="AB57" s="153">
        <f t="shared" ref="AB57:AC64" si="160">Z57-X57</f>
        <v>-615</v>
      </c>
      <c r="AC57" s="153">
        <f t="shared" si="160"/>
        <v>3115.679999999993</v>
      </c>
      <c r="AD57" s="154">
        <v>13969</v>
      </c>
      <c r="AE57" s="154">
        <v>48570.69</v>
      </c>
      <c r="AF57" s="151">
        <f t="shared" ref="AF57:AG64" si="161">AD57-X57</f>
        <v>-746</v>
      </c>
      <c r="AG57" s="151">
        <f t="shared" si="161"/>
        <v>-8913.6300000000047</v>
      </c>
      <c r="AH57" s="155">
        <f t="shared" ref="AH57:AH64" si="162">H57+X57</f>
        <v>35364</v>
      </c>
      <c r="AI57" s="155">
        <f t="shared" ref="AI57:AI64" si="163">I57+Y57</f>
        <v>135243.90000000002</v>
      </c>
      <c r="AJ57" s="156">
        <v>31279</v>
      </c>
      <c r="AK57" s="156">
        <v>107746</v>
      </c>
      <c r="AL57" s="148">
        <f t="shared" ref="AL57" si="164">J57+Z57</f>
        <v>31000</v>
      </c>
      <c r="AM57" s="148">
        <f t="shared" ref="AM57" si="165">K57+AA57</f>
        <v>138340</v>
      </c>
      <c r="AN57" s="149">
        <f t="shared" ref="AN57:AO64" si="166">AL57-AH57</f>
        <v>-4364</v>
      </c>
      <c r="AO57" s="149">
        <f t="shared" si="166"/>
        <v>3096.0999999999767</v>
      </c>
      <c r="AP57" s="150">
        <f t="shared" ref="AP57:AQ64" si="167">AJ57-AH57</f>
        <v>-4085</v>
      </c>
      <c r="AQ57" s="150">
        <f t="shared" si="167"/>
        <v>-27497.900000000023</v>
      </c>
      <c r="AR57" s="368">
        <v>4904</v>
      </c>
      <c r="AS57" s="368">
        <v>18840.45</v>
      </c>
      <c r="AT57" s="368">
        <f>4991+314</f>
        <v>5305</v>
      </c>
      <c r="AU57" s="368">
        <v>20006.82</v>
      </c>
      <c r="AV57" s="368">
        <f>5607+220</f>
        <v>5827</v>
      </c>
      <c r="AW57" s="368">
        <v>21566.560000000001</v>
      </c>
      <c r="AX57" s="148">
        <f t="shared" si="148"/>
        <v>16036</v>
      </c>
      <c r="AY57" s="148">
        <f t="shared" si="149"/>
        <v>60413.83</v>
      </c>
      <c r="AZ57" s="168">
        <f>4300+4700+4700</f>
        <v>13700</v>
      </c>
      <c r="BA57" s="168">
        <f>18500+20200+20200</f>
        <v>58900</v>
      </c>
      <c r="BB57" s="149">
        <f t="shared" ref="BB57:BB68" si="168">AZ57-AX57</f>
        <v>-2336</v>
      </c>
      <c r="BC57" s="149">
        <f t="shared" ref="BC57:BC68" si="169">BA57-AY57</f>
        <v>-1513.8300000000017</v>
      </c>
      <c r="BD57" s="148">
        <v>14461</v>
      </c>
      <c r="BE57" s="210">
        <f t="shared" ref="BE57:BE68" si="170">BD57-AX57</f>
        <v>-1575</v>
      </c>
      <c r="BF57" s="148">
        <f t="shared" ref="BF57:BF68" si="171">AH57+AX57</f>
        <v>51400</v>
      </c>
      <c r="BG57" s="148">
        <f t="shared" ref="BG57:BG68" si="172">AI57+AY57</f>
        <v>195657.73000000004</v>
      </c>
      <c r="BH57" s="209">
        <v>45740</v>
      </c>
      <c r="BI57" s="150">
        <f t="shared" ref="BI57:BI68" si="173">AL57+AZ57</f>
        <v>44700</v>
      </c>
      <c r="BJ57" s="150">
        <f t="shared" ref="BJ57:BJ68" si="174">AM57+BA57</f>
        <v>197240</v>
      </c>
      <c r="BK57" s="153">
        <f t="shared" si="153"/>
        <v>-6700</v>
      </c>
      <c r="BL57" s="153">
        <f t="shared" si="154"/>
        <v>1582.2699999999604</v>
      </c>
      <c r="BM57" s="210">
        <f t="shared" ref="BM57:BM68" si="175">BH57-BF57</f>
        <v>-5660</v>
      </c>
      <c r="BN57" s="368">
        <f>6573+143</f>
        <v>6716</v>
      </c>
      <c r="BO57" s="372">
        <v>24822.83</v>
      </c>
      <c r="BP57" s="216">
        <v>6815</v>
      </c>
      <c r="BQ57" s="216">
        <v>24526.97</v>
      </c>
      <c r="BR57" s="216">
        <v>7761</v>
      </c>
      <c r="BS57" s="216">
        <v>27559.67</v>
      </c>
      <c r="BT57" s="216">
        <f t="shared" ref="BT57:BT68" si="176">BN57+BP57+BR57</f>
        <v>21292</v>
      </c>
      <c r="BU57" s="216">
        <f t="shared" ref="BU57:BU68" si="177">BO57+BQ57+BS57</f>
        <v>76909.47</v>
      </c>
      <c r="BV57" s="216">
        <v>18300</v>
      </c>
      <c r="BW57" s="216">
        <v>78900</v>
      </c>
      <c r="BX57" s="216">
        <f t="shared" ref="BX57:BY64" si="178">BV57-BT57</f>
        <v>-2992</v>
      </c>
      <c r="BY57" s="216">
        <f t="shared" si="178"/>
        <v>1990.5299999999988</v>
      </c>
      <c r="BZ57" s="216">
        <v>21280</v>
      </c>
      <c r="CA57" s="374">
        <f>B57+D57+F57+R57+T57+V57+AR57+AT57+AV57+BN57+BP57+BR57</f>
        <v>72692</v>
      </c>
      <c r="CB57" s="374">
        <f>C57+E57+G57+S57+U57+W57+AS57+AU57+AW57+BO57+BQ57+BS57</f>
        <v>272567.2</v>
      </c>
      <c r="CC57" s="216">
        <v>63000</v>
      </c>
      <c r="CD57" s="216">
        <v>271100</v>
      </c>
      <c r="CE57" s="216">
        <f t="shared" ref="CE57:CF64" si="179">CC57-CA57</f>
        <v>-9692</v>
      </c>
      <c r="CF57" s="216">
        <f t="shared" si="179"/>
        <v>-1467.2000000000116</v>
      </c>
      <c r="CG57" s="230">
        <v>67020</v>
      </c>
      <c r="CH57" s="228">
        <v>53825</v>
      </c>
    </row>
    <row r="58" spans="1:118" ht="16.5" thickBot="1" x14ac:dyDescent="0.3">
      <c r="A58" s="174" t="s">
        <v>57</v>
      </c>
      <c r="B58" s="360">
        <v>15</v>
      </c>
      <c r="C58" s="360">
        <v>67.83</v>
      </c>
      <c r="D58" s="360">
        <v>15</v>
      </c>
      <c r="E58" s="360">
        <v>66.62</v>
      </c>
      <c r="F58" s="360">
        <v>15</v>
      </c>
      <c r="G58" s="360">
        <v>66.680000000000007</v>
      </c>
      <c r="H58" s="364">
        <f t="shared" si="156"/>
        <v>45</v>
      </c>
      <c r="I58" s="364">
        <f t="shared" si="156"/>
        <v>201.13</v>
      </c>
      <c r="J58" s="188">
        <v>50</v>
      </c>
      <c r="K58" s="188">
        <v>300</v>
      </c>
      <c r="L58" s="127">
        <f t="shared" si="157"/>
        <v>5</v>
      </c>
      <c r="M58" s="127">
        <f t="shared" si="157"/>
        <v>98.87</v>
      </c>
      <c r="N58" s="126">
        <v>37</v>
      </c>
      <c r="O58" s="126">
        <v>146.21</v>
      </c>
      <c r="P58" s="9">
        <f t="shared" si="158"/>
        <v>-8</v>
      </c>
      <c r="Q58" s="9">
        <f t="shared" si="158"/>
        <v>-54.919999999999987</v>
      </c>
      <c r="R58" s="368">
        <v>10</v>
      </c>
      <c r="S58" s="368">
        <v>45.3</v>
      </c>
      <c r="T58" s="368">
        <v>10</v>
      </c>
      <c r="U58" s="368">
        <v>45.34</v>
      </c>
      <c r="V58" s="368">
        <v>10</v>
      </c>
      <c r="W58" s="368">
        <v>46</v>
      </c>
      <c r="X58" s="151">
        <f t="shared" si="159"/>
        <v>30</v>
      </c>
      <c r="Y58" s="151">
        <f t="shared" si="159"/>
        <v>136.63999999999999</v>
      </c>
      <c r="Z58" s="148">
        <v>30</v>
      </c>
      <c r="AA58" s="148">
        <v>100</v>
      </c>
      <c r="AB58" s="153">
        <f t="shared" si="160"/>
        <v>0</v>
      </c>
      <c r="AC58" s="153">
        <f t="shared" si="160"/>
        <v>-36.639999999999986</v>
      </c>
      <c r="AD58" s="154">
        <v>27</v>
      </c>
      <c r="AE58" s="154">
        <v>108.44</v>
      </c>
      <c r="AF58" s="151">
        <f t="shared" si="161"/>
        <v>-3</v>
      </c>
      <c r="AG58" s="151">
        <f t="shared" si="161"/>
        <v>-28.199999999999989</v>
      </c>
      <c r="AH58" s="155">
        <f t="shared" si="162"/>
        <v>75</v>
      </c>
      <c r="AI58" s="155">
        <f t="shared" si="163"/>
        <v>337.77</v>
      </c>
      <c r="AJ58" s="156">
        <v>64</v>
      </c>
      <c r="AK58" s="156">
        <v>255</v>
      </c>
      <c r="AL58" s="148">
        <f t="shared" ref="AL58:AL61" si="180">J58+Z58</f>
        <v>80</v>
      </c>
      <c r="AM58" s="148">
        <f t="shared" ref="AM58:AM61" si="181">K58+AA58</f>
        <v>400</v>
      </c>
      <c r="AN58" s="149">
        <f t="shared" si="166"/>
        <v>5</v>
      </c>
      <c r="AO58" s="149">
        <f t="shared" si="166"/>
        <v>62.230000000000018</v>
      </c>
      <c r="AP58" s="150">
        <f t="shared" si="167"/>
        <v>-11</v>
      </c>
      <c r="AQ58" s="150">
        <f t="shared" si="167"/>
        <v>-82.769999999999982</v>
      </c>
      <c r="AR58" s="368">
        <v>5</v>
      </c>
      <c r="AS58" s="368">
        <v>22.4</v>
      </c>
      <c r="AT58" s="368">
        <v>10</v>
      </c>
      <c r="AU58" s="368">
        <v>43.97</v>
      </c>
      <c r="AV58" s="368">
        <v>9</v>
      </c>
      <c r="AW58" s="368">
        <v>39.07</v>
      </c>
      <c r="AX58" s="148">
        <f t="shared" si="148"/>
        <v>24</v>
      </c>
      <c r="AY58" s="148">
        <f t="shared" si="149"/>
        <v>105.44</v>
      </c>
      <c r="AZ58" s="168">
        <f>30</f>
        <v>30</v>
      </c>
      <c r="BA58" s="168">
        <v>200</v>
      </c>
      <c r="BB58" s="149">
        <f t="shared" si="168"/>
        <v>6</v>
      </c>
      <c r="BC58" s="149">
        <f t="shared" si="169"/>
        <v>94.56</v>
      </c>
      <c r="BD58" s="148">
        <v>31</v>
      </c>
      <c r="BE58" s="210">
        <f t="shared" si="170"/>
        <v>7</v>
      </c>
      <c r="BF58" s="148">
        <f t="shared" si="171"/>
        <v>99</v>
      </c>
      <c r="BG58" s="148">
        <f t="shared" si="172"/>
        <v>443.21</v>
      </c>
      <c r="BH58" s="209">
        <v>95</v>
      </c>
      <c r="BI58" s="150">
        <f t="shared" si="173"/>
        <v>110</v>
      </c>
      <c r="BJ58" s="150">
        <f t="shared" si="174"/>
        <v>600</v>
      </c>
      <c r="BK58" s="153">
        <f t="shared" si="153"/>
        <v>11</v>
      </c>
      <c r="BL58" s="153">
        <f t="shared" si="154"/>
        <v>156.79000000000002</v>
      </c>
      <c r="BM58" s="210">
        <f t="shared" si="175"/>
        <v>-4</v>
      </c>
      <c r="BN58" s="368">
        <v>12</v>
      </c>
      <c r="BO58" s="372">
        <v>52.16</v>
      </c>
      <c r="BP58" s="216">
        <v>27</v>
      </c>
      <c r="BQ58" s="216">
        <v>114.66</v>
      </c>
      <c r="BR58" s="216">
        <v>15</v>
      </c>
      <c r="BS58" s="216">
        <v>62.95</v>
      </c>
      <c r="BT58" s="216">
        <f t="shared" si="176"/>
        <v>54</v>
      </c>
      <c r="BU58" s="216">
        <f t="shared" si="177"/>
        <v>229.76999999999998</v>
      </c>
      <c r="BV58" s="216">
        <v>40</v>
      </c>
      <c r="BW58" s="216">
        <v>100</v>
      </c>
      <c r="BX58" s="216">
        <f t="shared" si="178"/>
        <v>-14</v>
      </c>
      <c r="BY58" s="216">
        <f t="shared" si="178"/>
        <v>-129.76999999999998</v>
      </c>
      <c r="BZ58" s="216">
        <v>37</v>
      </c>
      <c r="CA58" s="374">
        <f t="shared" ref="CA58:CA64" si="182">B58+D58+F58+R58+T58+V58+AR58+AT58+AV58+BN58+BP58+BR58</f>
        <v>153</v>
      </c>
      <c r="CB58" s="374">
        <f>C58+E58+G58+S58+U58+W58+AS58+AU58+AW58+BQ58+BS58+BU58</f>
        <v>850.59</v>
      </c>
      <c r="CC58" s="216">
        <v>150</v>
      </c>
      <c r="CD58" s="216">
        <v>700</v>
      </c>
      <c r="CE58" s="216">
        <f t="shared" si="179"/>
        <v>-3</v>
      </c>
      <c r="CF58" s="216">
        <f t="shared" si="179"/>
        <v>-150.59000000000003</v>
      </c>
      <c r="CG58" s="230">
        <v>132</v>
      </c>
      <c r="CH58" s="228">
        <v>181</v>
      </c>
    </row>
    <row r="59" spans="1:118" ht="16.5" thickBot="1" x14ac:dyDescent="0.3">
      <c r="A59" s="29" t="s">
        <v>58</v>
      </c>
      <c r="B59" s="360">
        <v>57</v>
      </c>
      <c r="C59" s="360">
        <v>253.15</v>
      </c>
      <c r="D59" s="360">
        <v>70</v>
      </c>
      <c r="E59" s="360">
        <v>307.7</v>
      </c>
      <c r="F59" s="360">
        <v>65</v>
      </c>
      <c r="G59" s="360">
        <v>288.95999999999998</v>
      </c>
      <c r="H59" s="364">
        <f t="shared" si="156"/>
        <v>192</v>
      </c>
      <c r="I59" s="364">
        <f t="shared" si="156"/>
        <v>849.81</v>
      </c>
      <c r="J59" s="188">
        <v>600</v>
      </c>
      <c r="K59" s="188">
        <v>2760</v>
      </c>
      <c r="L59" s="127">
        <f>J59-H59</f>
        <v>408</v>
      </c>
      <c r="M59" s="127">
        <f t="shared" si="157"/>
        <v>1910.19</v>
      </c>
      <c r="N59" s="126">
        <v>1337</v>
      </c>
      <c r="O59" s="126">
        <v>5315.62</v>
      </c>
      <c r="P59" s="9">
        <f t="shared" si="158"/>
        <v>1145</v>
      </c>
      <c r="Q59" s="9">
        <f t="shared" si="158"/>
        <v>4465.8099999999995</v>
      </c>
      <c r="R59" s="368">
        <v>60</v>
      </c>
      <c r="S59" s="368">
        <v>271.8</v>
      </c>
      <c r="T59" s="368">
        <v>61</v>
      </c>
      <c r="U59" s="368">
        <v>276.56</v>
      </c>
      <c r="V59" s="368">
        <v>30</v>
      </c>
      <c r="W59" s="368">
        <v>137.97999999999999</v>
      </c>
      <c r="X59" s="151">
        <f t="shared" si="159"/>
        <v>151</v>
      </c>
      <c r="Y59" s="151">
        <f t="shared" si="159"/>
        <v>686.34</v>
      </c>
      <c r="Z59" s="148">
        <v>300</v>
      </c>
      <c r="AA59" s="148">
        <v>1500</v>
      </c>
      <c r="AB59" s="153">
        <f t="shared" si="160"/>
        <v>149</v>
      </c>
      <c r="AC59" s="153">
        <f t="shared" si="160"/>
        <v>813.66</v>
      </c>
      <c r="AD59" s="154">
        <v>1555</v>
      </c>
      <c r="AE59" s="154">
        <v>5980.76</v>
      </c>
      <c r="AF59" s="151">
        <f t="shared" si="161"/>
        <v>1404</v>
      </c>
      <c r="AG59" s="151">
        <f t="shared" si="161"/>
        <v>5294.42</v>
      </c>
      <c r="AH59" s="155">
        <f t="shared" si="162"/>
        <v>343</v>
      </c>
      <c r="AI59" s="155">
        <f t="shared" si="163"/>
        <v>1536.15</v>
      </c>
      <c r="AJ59" s="156">
        <v>2892</v>
      </c>
      <c r="AK59" s="156">
        <v>11296</v>
      </c>
      <c r="AL59" s="148">
        <f t="shared" si="180"/>
        <v>900</v>
      </c>
      <c r="AM59" s="148">
        <f t="shared" si="181"/>
        <v>4260</v>
      </c>
      <c r="AN59" s="149">
        <f t="shared" si="166"/>
        <v>557</v>
      </c>
      <c r="AO59" s="149">
        <f t="shared" si="166"/>
        <v>2723.85</v>
      </c>
      <c r="AP59" s="150">
        <f t="shared" si="167"/>
        <v>2549</v>
      </c>
      <c r="AQ59" s="150">
        <f t="shared" si="167"/>
        <v>9759.85</v>
      </c>
      <c r="AR59" s="368">
        <v>109</v>
      </c>
      <c r="AS59" s="368">
        <v>488.36</v>
      </c>
      <c r="AT59" s="368">
        <v>137</v>
      </c>
      <c r="AU59" s="368">
        <v>602.36</v>
      </c>
      <c r="AV59" s="368">
        <v>167</v>
      </c>
      <c r="AW59" s="368">
        <v>724.92</v>
      </c>
      <c r="AX59" s="148">
        <f t="shared" si="148"/>
        <v>413</v>
      </c>
      <c r="AY59" s="148">
        <f t="shared" si="149"/>
        <v>1815.6399999999999</v>
      </c>
      <c r="AZ59" s="168">
        <f>500</f>
        <v>500</v>
      </c>
      <c r="BA59" s="168">
        <f>500+900+900</f>
        <v>2300</v>
      </c>
      <c r="BB59" s="149">
        <f t="shared" si="168"/>
        <v>87</v>
      </c>
      <c r="BC59" s="149">
        <f t="shared" si="169"/>
        <v>484.36000000000013</v>
      </c>
      <c r="BD59" s="148">
        <v>1837</v>
      </c>
      <c r="BE59" s="210">
        <f t="shared" si="170"/>
        <v>1424</v>
      </c>
      <c r="BF59" s="148">
        <f t="shared" si="171"/>
        <v>756</v>
      </c>
      <c r="BG59" s="148">
        <f t="shared" si="172"/>
        <v>3351.79</v>
      </c>
      <c r="BH59" s="209">
        <v>4729</v>
      </c>
      <c r="BI59" s="150">
        <f t="shared" si="173"/>
        <v>1400</v>
      </c>
      <c r="BJ59" s="150">
        <f t="shared" si="174"/>
        <v>6560</v>
      </c>
      <c r="BK59" s="153">
        <f t="shared" si="153"/>
        <v>644</v>
      </c>
      <c r="BL59" s="153">
        <f t="shared" si="154"/>
        <v>3208.21</v>
      </c>
      <c r="BM59" s="210">
        <f t="shared" si="175"/>
        <v>3973</v>
      </c>
      <c r="BN59" s="368">
        <v>116</v>
      </c>
      <c r="BO59" s="372">
        <v>504.23</v>
      </c>
      <c r="BP59" s="216">
        <v>123</v>
      </c>
      <c r="BQ59" s="216">
        <v>516.19000000000005</v>
      </c>
      <c r="BR59" s="216">
        <v>87</v>
      </c>
      <c r="BS59" s="216">
        <v>369.48</v>
      </c>
      <c r="BT59" s="216">
        <f t="shared" si="176"/>
        <v>326</v>
      </c>
      <c r="BU59" s="216">
        <f t="shared" si="177"/>
        <v>1389.9</v>
      </c>
      <c r="BV59" s="216">
        <v>600</v>
      </c>
      <c r="BW59" s="216">
        <v>2700</v>
      </c>
      <c r="BX59" s="216">
        <f t="shared" si="178"/>
        <v>274</v>
      </c>
      <c r="BY59" s="216">
        <f t="shared" si="178"/>
        <v>1310.0999999999999</v>
      </c>
      <c r="BZ59" s="216">
        <v>1156</v>
      </c>
      <c r="CA59" s="374">
        <f t="shared" si="182"/>
        <v>1082</v>
      </c>
      <c r="CB59" s="374">
        <f t="shared" ref="CB59:CB64" si="183">C59+E59+G59+S59+U59+W59+AS59+AU59+AW59+BO59+BQ59+BS59</f>
        <v>4741.6900000000005</v>
      </c>
      <c r="CC59" s="216">
        <v>2000</v>
      </c>
      <c r="CD59" s="216">
        <v>9200</v>
      </c>
      <c r="CE59" s="216">
        <f t="shared" si="179"/>
        <v>918</v>
      </c>
      <c r="CF59" s="216">
        <f t="shared" si="179"/>
        <v>4458.3099999999995</v>
      </c>
      <c r="CG59" s="230">
        <v>5885</v>
      </c>
      <c r="CH59" s="228">
        <v>1422</v>
      </c>
    </row>
    <row r="60" spans="1:118" ht="16.5" thickBot="1" x14ac:dyDescent="0.3">
      <c r="A60" s="29" t="s">
        <v>59</v>
      </c>
      <c r="B60" s="360">
        <v>29389</v>
      </c>
      <c r="C60" s="360">
        <v>127341.23</v>
      </c>
      <c r="D60" s="360">
        <v>23213</v>
      </c>
      <c r="E60" s="360">
        <v>99444.37</v>
      </c>
      <c r="F60" s="360">
        <v>21470</v>
      </c>
      <c r="G60" s="360">
        <v>93763.09</v>
      </c>
      <c r="H60" s="364">
        <f t="shared" si="156"/>
        <v>74072</v>
      </c>
      <c r="I60" s="364">
        <f t="shared" si="156"/>
        <v>320548.68999999994</v>
      </c>
      <c r="J60" s="188">
        <v>59600</v>
      </c>
      <c r="K60" s="188">
        <v>274160</v>
      </c>
      <c r="L60" s="127">
        <f t="shared" si="157"/>
        <v>-14472</v>
      </c>
      <c r="M60" s="127">
        <f t="shared" si="157"/>
        <v>-46388.689999999944</v>
      </c>
      <c r="N60" s="126">
        <v>72307</v>
      </c>
      <c r="O60" s="126">
        <v>279594.39</v>
      </c>
      <c r="P60" s="9">
        <f t="shared" si="158"/>
        <v>-1765</v>
      </c>
      <c r="Q60" s="9">
        <f t="shared" si="158"/>
        <v>-40954.29999999993</v>
      </c>
      <c r="R60" s="368">
        <v>13683</v>
      </c>
      <c r="S60" s="368">
        <v>60831.46</v>
      </c>
      <c r="T60" s="368">
        <v>937</v>
      </c>
      <c r="U60" s="368">
        <v>4248.08</v>
      </c>
      <c r="V60" s="368">
        <v>830</v>
      </c>
      <c r="W60" s="368">
        <v>3777.47</v>
      </c>
      <c r="X60" s="151">
        <f t="shared" si="159"/>
        <v>15450</v>
      </c>
      <c r="Y60" s="151">
        <f t="shared" si="159"/>
        <v>68857.009999999995</v>
      </c>
      <c r="Z60" s="148">
        <v>23300</v>
      </c>
      <c r="AA60" s="148">
        <v>107300</v>
      </c>
      <c r="AB60" s="153">
        <f>Z60-X60</f>
        <v>7850</v>
      </c>
      <c r="AC60" s="153">
        <f t="shared" si="160"/>
        <v>38442.990000000005</v>
      </c>
      <c r="AD60" s="154">
        <v>15034</v>
      </c>
      <c r="AE60" s="154">
        <v>57617.94</v>
      </c>
      <c r="AF60" s="151">
        <f t="shared" si="161"/>
        <v>-416</v>
      </c>
      <c r="AG60" s="151">
        <f t="shared" si="161"/>
        <v>-11239.069999999992</v>
      </c>
      <c r="AH60" s="155">
        <f t="shared" si="162"/>
        <v>89522</v>
      </c>
      <c r="AI60" s="155">
        <f t="shared" si="163"/>
        <v>389405.69999999995</v>
      </c>
      <c r="AJ60" s="156">
        <v>87341</v>
      </c>
      <c r="AK60" s="156">
        <v>337212</v>
      </c>
      <c r="AL60" s="148">
        <f t="shared" si="180"/>
        <v>82900</v>
      </c>
      <c r="AM60" s="148">
        <f t="shared" si="181"/>
        <v>381460</v>
      </c>
      <c r="AN60" s="149">
        <f t="shared" si="166"/>
        <v>-6622</v>
      </c>
      <c r="AO60" s="149">
        <f t="shared" si="166"/>
        <v>-7945.6999999999534</v>
      </c>
      <c r="AP60" s="150">
        <f t="shared" si="167"/>
        <v>-2181</v>
      </c>
      <c r="AQ60" s="150">
        <f t="shared" si="167"/>
        <v>-52193.699999999953</v>
      </c>
      <c r="AR60" s="368">
        <v>78</v>
      </c>
      <c r="AS60" s="368">
        <v>349.47</v>
      </c>
      <c r="AT60" s="368">
        <f>764+613</f>
        <v>1377</v>
      </c>
      <c r="AU60" s="368">
        <v>5646.83</v>
      </c>
      <c r="AV60" s="368">
        <f>8610+2134</f>
        <v>10744</v>
      </c>
      <c r="AW60" s="368">
        <v>45219.43</v>
      </c>
      <c r="AX60" s="148">
        <f t="shared" si="148"/>
        <v>12199</v>
      </c>
      <c r="AY60" s="148">
        <f t="shared" si="149"/>
        <v>51215.73</v>
      </c>
      <c r="AZ60" s="168">
        <f>500+3000</f>
        <v>3500</v>
      </c>
      <c r="BA60" s="168">
        <f>2300+20000</f>
        <v>22300</v>
      </c>
      <c r="BB60" s="149">
        <f t="shared" si="168"/>
        <v>-8699</v>
      </c>
      <c r="BC60" s="149">
        <f t="shared" si="169"/>
        <v>-28915.730000000003</v>
      </c>
      <c r="BD60" s="148">
        <v>7249</v>
      </c>
      <c r="BE60" s="210">
        <f t="shared" si="170"/>
        <v>-4950</v>
      </c>
      <c r="BF60" s="148">
        <f t="shared" si="171"/>
        <v>101721</v>
      </c>
      <c r="BG60" s="148">
        <f t="shared" si="172"/>
        <v>440621.42999999993</v>
      </c>
      <c r="BH60" s="209">
        <v>94590</v>
      </c>
      <c r="BI60" s="150">
        <f t="shared" si="173"/>
        <v>86400</v>
      </c>
      <c r="BJ60" s="150">
        <f t="shared" si="174"/>
        <v>403760</v>
      </c>
      <c r="BK60" s="153">
        <f t="shared" si="153"/>
        <v>-15321</v>
      </c>
      <c r="BL60" s="153">
        <f t="shared" si="154"/>
        <v>-36861.429999999935</v>
      </c>
      <c r="BM60" s="210">
        <f t="shared" si="175"/>
        <v>-7131</v>
      </c>
      <c r="BN60" s="368">
        <f>16508+2996</f>
        <v>19504</v>
      </c>
      <c r="BO60" s="372">
        <v>82786.850000000006</v>
      </c>
      <c r="BP60" s="216">
        <v>22152</v>
      </c>
      <c r="BQ60" s="216">
        <v>91511.88</v>
      </c>
      <c r="BR60" s="216">
        <v>29247</v>
      </c>
      <c r="BS60" s="216">
        <v>119548.25</v>
      </c>
      <c r="BT60" s="216">
        <f t="shared" si="176"/>
        <v>70903</v>
      </c>
      <c r="BU60" s="216">
        <f t="shared" si="177"/>
        <v>293846.98</v>
      </c>
      <c r="BV60" s="216">
        <v>64600</v>
      </c>
      <c r="BW60" s="216">
        <v>297100</v>
      </c>
      <c r="BX60" s="216">
        <f t="shared" si="178"/>
        <v>-6303</v>
      </c>
      <c r="BY60" s="216">
        <f t="shared" si="178"/>
        <v>3253.0200000000186</v>
      </c>
      <c r="BZ60" s="216">
        <v>71331</v>
      </c>
      <c r="CA60" s="374">
        <f t="shared" si="182"/>
        <v>172624</v>
      </c>
      <c r="CB60" s="374">
        <f t="shared" si="183"/>
        <v>734468.40999999992</v>
      </c>
      <c r="CC60" s="216">
        <v>151000</v>
      </c>
      <c r="CD60" s="216">
        <v>694600</v>
      </c>
      <c r="CE60" s="216">
        <f t="shared" si="179"/>
        <v>-21624</v>
      </c>
      <c r="CF60" s="216">
        <f t="shared" si="179"/>
        <v>-39868.409999999916</v>
      </c>
      <c r="CG60" s="230">
        <v>165921</v>
      </c>
      <c r="CH60" s="228">
        <v>42236</v>
      </c>
    </row>
    <row r="61" spans="1:118" ht="16.5" thickBot="1" x14ac:dyDescent="0.3">
      <c r="A61" s="29" t="s">
        <v>60</v>
      </c>
      <c r="B61" s="360">
        <v>271</v>
      </c>
      <c r="C61" s="360">
        <v>1203.56</v>
      </c>
      <c r="D61" s="360">
        <v>82</v>
      </c>
      <c r="E61" s="360">
        <v>360.44</v>
      </c>
      <c r="F61" s="360">
        <v>803</v>
      </c>
      <c r="G61" s="360">
        <v>3569.75</v>
      </c>
      <c r="H61" s="364">
        <f t="shared" si="156"/>
        <v>1156</v>
      </c>
      <c r="I61" s="364">
        <f t="shared" si="156"/>
        <v>5133.75</v>
      </c>
      <c r="J61" s="188">
        <v>600</v>
      </c>
      <c r="K61" s="188">
        <v>2700</v>
      </c>
      <c r="L61" s="127">
        <f t="shared" si="157"/>
        <v>-556</v>
      </c>
      <c r="M61" s="127">
        <f t="shared" si="157"/>
        <v>-2433.75</v>
      </c>
      <c r="N61" s="126">
        <v>0</v>
      </c>
      <c r="O61" s="126">
        <v>0</v>
      </c>
      <c r="P61" s="9">
        <f t="shared" si="158"/>
        <v>-1156</v>
      </c>
      <c r="Q61" s="9">
        <f t="shared" si="158"/>
        <v>-5133.75</v>
      </c>
      <c r="R61" s="368">
        <v>759</v>
      </c>
      <c r="S61" s="368">
        <v>3438.32</v>
      </c>
      <c r="T61" s="368">
        <v>990</v>
      </c>
      <c r="U61" s="368">
        <v>4488.37</v>
      </c>
      <c r="V61" s="368">
        <v>1001</v>
      </c>
      <c r="W61" s="368">
        <v>4603.83</v>
      </c>
      <c r="X61" s="151">
        <f t="shared" si="159"/>
        <v>2750</v>
      </c>
      <c r="Y61" s="151">
        <f t="shared" si="159"/>
        <v>12530.52</v>
      </c>
      <c r="Z61" s="148">
        <v>300</v>
      </c>
      <c r="AA61" s="148">
        <v>1500</v>
      </c>
      <c r="AB61" s="153">
        <f t="shared" si="160"/>
        <v>-2450</v>
      </c>
      <c r="AC61" s="153">
        <f t="shared" si="160"/>
        <v>-11030.52</v>
      </c>
      <c r="AD61" s="154">
        <v>0</v>
      </c>
      <c r="AE61" s="154">
        <v>0</v>
      </c>
      <c r="AF61" s="151">
        <f t="shared" si="161"/>
        <v>-2750</v>
      </c>
      <c r="AG61" s="151">
        <f t="shared" si="161"/>
        <v>-12530.52</v>
      </c>
      <c r="AH61" s="155">
        <f t="shared" si="162"/>
        <v>3906</v>
      </c>
      <c r="AI61" s="155">
        <f t="shared" si="163"/>
        <v>17664.27</v>
      </c>
      <c r="AJ61" s="156">
        <v>0</v>
      </c>
      <c r="AK61" s="156">
        <v>0</v>
      </c>
      <c r="AL61" s="148">
        <f t="shared" si="180"/>
        <v>900</v>
      </c>
      <c r="AM61" s="148">
        <f t="shared" si="181"/>
        <v>4200</v>
      </c>
      <c r="AN61" s="149">
        <f t="shared" si="166"/>
        <v>-3006</v>
      </c>
      <c r="AO61" s="149">
        <f t="shared" si="166"/>
        <v>-13464.27</v>
      </c>
      <c r="AP61" s="150">
        <f t="shared" si="167"/>
        <v>-3906</v>
      </c>
      <c r="AQ61" s="150">
        <f t="shared" si="167"/>
        <v>-17664.27</v>
      </c>
      <c r="AR61" s="368">
        <v>1369</v>
      </c>
      <c r="AS61" s="368">
        <v>6133.62</v>
      </c>
      <c r="AT61" s="368">
        <v>392</v>
      </c>
      <c r="AU61" s="368">
        <v>1723.53</v>
      </c>
      <c r="AV61" s="368">
        <v>657</v>
      </c>
      <c r="AW61" s="368">
        <v>2851.94</v>
      </c>
      <c r="AX61" s="148">
        <f t="shared" si="148"/>
        <v>2418</v>
      </c>
      <c r="AY61" s="148">
        <f t="shared" si="149"/>
        <v>10709.09</v>
      </c>
      <c r="AZ61" s="168">
        <v>500</v>
      </c>
      <c r="BA61" s="168">
        <v>2300</v>
      </c>
      <c r="BB61" s="149">
        <f t="shared" si="168"/>
        <v>-1918</v>
      </c>
      <c r="BC61" s="149">
        <f t="shared" si="169"/>
        <v>-8409.09</v>
      </c>
      <c r="BD61" s="148"/>
      <c r="BE61" s="210">
        <f t="shared" si="170"/>
        <v>-2418</v>
      </c>
      <c r="BF61" s="148">
        <f t="shared" si="171"/>
        <v>6324</v>
      </c>
      <c r="BG61" s="148">
        <f t="shared" si="172"/>
        <v>28373.360000000001</v>
      </c>
      <c r="BH61" s="209"/>
      <c r="BI61" s="150">
        <f t="shared" si="173"/>
        <v>1400</v>
      </c>
      <c r="BJ61" s="150">
        <f t="shared" si="174"/>
        <v>6500</v>
      </c>
      <c r="BK61" s="153">
        <f t="shared" si="153"/>
        <v>-4924</v>
      </c>
      <c r="BL61" s="153">
        <f t="shared" si="154"/>
        <v>-21873.360000000001</v>
      </c>
      <c r="BM61" s="210">
        <f t="shared" si="175"/>
        <v>-6324</v>
      </c>
      <c r="BN61" s="368">
        <v>325</v>
      </c>
      <c r="BO61" s="372">
        <v>1412.68</v>
      </c>
      <c r="BP61" s="216">
        <v>314</v>
      </c>
      <c r="BQ61" s="216">
        <v>1333.53</v>
      </c>
      <c r="BR61" s="216">
        <v>335</v>
      </c>
      <c r="BS61" s="216">
        <v>1405.89</v>
      </c>
      <c r="BT61" s="216">
        <f t="shared" si="176"/>
        <v>974</v>
      </c>
      <c r="BU61" s="216">
        <f t="shared" si="177"/>
        <v>4152.1000000000004</v>
      </c>
      <c r="BV61" s="216">
        <v>600</v>
      </c>
      <c r="BW61" s="216">
        <v>2700</v>
      </c>
      <c r="BX61" s="216">
        <f t="shared" si="178"/>
        <v>-374</v>
      </c>
      <c r="BY61" s="216">
        <f t="shared" si="178"/>
        <v>-1452.1000000000004</v>
      </c>
      <c r="BZ61" s="216">
        <v>0</v>
      </c>
      <c r="CA61" s="374">
        <f t="shared" si="182"/>
        <v>7298</v>
      </c>
      <c r="CB61" s="374">
        <f t="shared" si="183"/>
        <v>32525.459999999992</v>
      </c>
      <c r="CC61" s="216">
        <v>2000</v>
      </c>
      <c r="CD61" s="216">
        <v>9200</v>
      </c>
      <c r="CE61" s="216">
        <f t="shared" si="179"/>
        <v>-5298</v>
      </c>
      <c r="CF61" s="216">
        <f t="shared" si="179"/>
        <v>-23325.459999999992</v>
      </c>
      <c r="CG61" s="230">
        <v>0</v>
      </c>
      <c r="CH61" s="228">
        <v>0</v>
      </c>
    </row>
    <row r="62" spans="1:118" ht="16.5" thickBot="1" x14ac:dyDescent="0.3">
      <c r="A62" s="29" t="s">
        <v>61</v>
      </c>
      <c r="B62" s="360">
        <v>1661</v>
      </c>
      <c r="C62" s="360">
        <v>7376.85</v>
      </c>
      <c r="D62" s="360">
        <v>1250</v>
      </c>
      <c r="E62" s="360">
        <v>5494.54</v>
      </c>
      <c r="F62" s="360">
        <v>1226</v>
      </c>
      <c r="G62" s="360">
        <v>5450.2</v>
      </c>
      <c r="H62" s="364">
        <f t="shared" si="156"/>
        <v>4137</v>
      </c>
      <c r="I62" s="364">
        <f t="shared" si="156"/>
        <v>18321.59</v>
      </c>
      <c r="J62" s="188">
        <v>4300</v>
      </c>
      <c r="K62" s="188">
        <v>19780</v>
      </c>
      <c r="L62" s="127">
        <f t="shared" si="157"/>
        <v>163</v>
      </c>
      <c r="M62" s="127">
        <f t="shared" si="157"/>
        <v>1458.4099999999999</v>
      </c>
      <c r="N62" s="126">
        <v>5117</v>
      </c>
      <c r="O62" s="126">
        <v>20046.899999999998</v>
      </c>
      <c r="P62" s="9">
        <f t="shared" si="158"/>
        <v>980</v>
      </c>
      <c r="Q62" s="9">
        <f t="shared" si="158"/>
        <v>1725.3099999999977</v>
      </c>
      <c r="R62" s="368">
        <v>956</v>
      </c>
      <c r="S62" s="368">
        <v>4330.74</v>
      </c>
      <c r="T62" s="368">
        <v>539</v>
      </c>
      <c r="U62" s="368">
        <v>2443.66</v>
      </c>
      <c r="V62" s="368">
        <v>366</v>
      </c>
      <c r="W62" s="368">
        <v>1683.32</v>
      </c>
      <c r="X62" s="151">
        <f t="shared" si="159"/>
        <v>1861</v>
      </c>
      <c r="Y62" s="151">
        <f t="shared" si="159"/>
        <v>8457.7199999999993</v>
      </c>
      <c r="Z62" s="148">
        <v>900</v>
      </c>
      <c r="AA62" s="148">
        <v>4200</v>
      </c>
      <c r="AB62" s="153">
        <f t="shared" si="160"/>
        <v>-961</v>
      </c>
      <c r="AC62" s="153">
        <f t="shared" si="160"/>
        <v>-4257.7199999999993</v>
      </c>
      <c r="AD62" s="154">
        <v>2084</v>
      </c>
      <c r="AE62" s="154">
        <v>8321.2800000000007</v>
      </c>
      <c r="AF62" s="151">
        <f t="shared" si="161"/>
        <v>223</v>
      </c>
      <c r="AG62" s="151">
        <f t="shared" si="161"/>
        <v>-136.43999999999869</v>
      </c>
      <c r="AH62" s="155">
        <f t="shared" si="162"/>
        <v>5998</v>
      </c>
      <c r="AI62" s="155">
        <f t="shared" si="163"/>
        <v>26779.309999999998</v>
      </c>
      <c r="AJ62" s="156">
        <v>7201</v>
      </c>
      <c r="AK62" s="156">
        <v>28368</v>
      </c>
      <c r="AL62" s="148">
        <f t="shared" ref="AL62:AL64" si="184">J62+Z62</f>
        <v>5200</v>
      </c>
      <c r="AM62" s="148">
        <f t="shared" ref="AM62:AM64" si="185">K62+AA62</f>
        <v>23980</v>
      </c>
      <c r="AN62" s="149">
        <f t="shared" si="166"/>
        <v>-798</v>
      </c>
      <c r="AO62" s="149">
        <f t="shared" si="166"/>
        <v>-2799.3099999999977</v>
      </c>
      <c r="AP62" s="150">
        <f t="shared" si="167"/>
        <v>1203</v>
      </c>
      <c r="AQ62" s="150">
        <f t="shared" si="167"/>
        <v>1588.6900000000023</v>
      </c>
      <c r="AR62" s="368">
        <v>107</v>
      </c>
      <c r="AS62" s="368">
        <v>479.4</v>
      </c>
      <c r="AT62" s="368">
        <v>75</v>
      </c>
      <c r="AU62" s="368">
        <v>329.76</v>
      </c>
      <c r="AV62" s="368">
        <v>847</v>
      </c>
      <c r="AW62" s="368">
        <v>3676.7</v>
      </c>
      <c r="AX62" s="148">
        <f t="shared" si="148"/>
        <v>1029</v>
      </c>
      <c r="AY62" s="148">
        <f t="shared" si="149"/>
        <v>4485.8599999999997</v>
      </c>
      <c r="AZ62" s="168">
        <f>500+300</f>
        <v>800</v>
      </c>
      <c r="BA62" s="168">
        <f>2300+1400</f>
        <v>3700</v>
      </c>
      <c r="BB62" s="149">
        <f t="shared" si="168"/>
        <v>-229</v>
      </c>
      <c r="BC62" s="149">
        <f t="shared" si="169"/>
        <v>-785.85999999999967</v>
      </c>
      <c r="BD62" s="148">
        <v>1384</v>
      </c>
      <c r="BE62" s="210">
        <f t="shared" si="170"/>
        <v>355</v>
      </c>
      <c r="BF62" s="148">
        <f t="shared" si="171"/>
        <v>7027</v>
      </c>
      <c r="BG62" s="148">
        <f t="shared" si="172"/>
        <v>31265.17</v>
      </c>
      <c r="BH62" s="209">
        <v>8585</v>
      </c>
      <c r="BI62" s="150">
        <f t="shared" si="173"/>
        <v>6000</v>
      </c>
      <c r="BJ62" s="150">
        <f t="shared" si="174"/>
        <v>27680</v>
      </c>
      <c r="BK62" s="153">
        <f t="shared" si="153"/>
        <v>-1027</v>
      </c>
      <c r="BL62" s="153">
        <f t="shared" si="154"/>
        <v>-3585.1699999999983</v>
      </c>
      <c r="BM62" s="210">
        <f t="shared" si="175"/>
        <v>1558</v>
      </c>
      <c r="BN62" s="368">
        <v>1100</v>
      </c>
      <c r="BO62" s="372">
        <v>4781.41</v>
      </c>
      <c r="BP62" s="216">
        <v>1351</v>
      </c>
      <c r="BQ62" s="216">
        <v>5737.56</v>
      </c>
      <c r="BR62" s="216">
        <v>3256</v>
      </c>
      <c r="BS62" s="216">
        <v>13664.35</v>
      </c>
      <c r="BT62" s="216">
        <f t="shared" si="176"/>
        <v>5707</v>
      </c>
      <c r="BU62" s="216">
        <f t="shared" si="177"/>
        <v>24183.32</v>
      </c>
      <c r="BV62" s="216">
        <v>5000</v>
      </c>
      <c r="BW62" s="216">
        <v>23000</v>
      </c>
      <c r="BX62" s="216">
        <f t="shared" si="178"/>
        <v>-707</v>
      </c>
      <c r="BY62" s="216">
        <f t="shared" si="178"/>
        <v>-1183.3199999999997</v>
      </c>
      <c r="BZ62" s="216">
        <v>6019</v>
      </c>
      <c r="CA62" s="374">
        <f t="shared" si="182"/>
        <v>12734</v>
      </c>
      <c r="CB62" s="374">
        <f t="shared" si="183"/>
        <v>55448.49</v>
      </c>
      <c r="CC62" s="216">
        <v>11000</v>
      </c>
      <c r="CD62" s="216">
        <v>50600</v>
      </c>
      <c r="CE62" s="216">
        <f t="shared" si="179"/>
        <v>-1734</v>
      </c>
      <c r="CF62" s="216">
        <f t="shared" si="179"/>
        <v>-4848.489999999998</v>
      </c>
      <c r="CG62" s="230">
        <v>14604</v>
      </c>
      <c r="CH62" s="228">
        <v>2484</v>
      </c>
    </row>
    <row r="63" spans="1:118" ht="16.5" thickBot="1" x14ac:dyDescent="0.3">
      <c r="A63" s="29" t="s">
        <v>62</v>
      </c>
      <c r="B63" s="360">
        <v>825</v>
      </c>
      <c r="C63" s="360">
        <v>3146.28</v>
      </c>
      <c r="D63" s="360">
        <v>391</v>
      </c>
      <c r="E63" s="360">
        <v>1500.55</v>
      </c>
      <c r="F63" s="360">
        <v>316</v>
      </c>
      <c r="G63" s="360">
        <v>1244.56</v>
      </c>
      <c r="H63" s="364">
        <f t="shared" si="156"/>
        <v>1532</v>
      </c>
      <c r="I63" s="364">
        <f t="shared" si="156"/>
        <v>5891.3899999999994</v>
      </c>
      <c r="J63" s="188">
        <v>1900</v>
      </c>
      <c r="K63" s="188">
        <v>8740</v>
      </c>
      <c r="L63" s="127">
        <f t="shared" si="157"/>
        <v>368</v>
      </c>
      <c r="M63" s="127">
        <f t="shared" si="157"/>
        <v>2848.6100000000006</v>
      </c>
      <c r="N63" s="126">
        <v>1722</v>
      </c>
      <c r="O63" s="126">
        <v>6012.27</v>
      </c>
      <c r="P63" s="9">
        <f t="shared" si="158"/>
        <v>190</v>
      </c>
      <c r="Q63" s="9">
        <f t="shared" si="158"/>
        <v>120.88000000000102</v>
      </c>
      <c r="R63" s="368">
        <v>201</v>
      </c>
      <c r="S63" s="368">
        <v>806.84</v>
      </c>
      <c r="T63" s="368">
        <v>349</v>
      </c>
      <c r="U63" s="368">
        <v>1501.15</v>
      </c>
      <c r="V63" s="368">
        <v>53</v>
      </c>
      <c r="W63" s="368">
        <v>243.76</v>
      </c>
      <c r="X63" s="151">
        <f t="shared" si="159"/>
        <v>603</v>
      </c>
      <c r="Y63" s="151">
        <f t="shared" si="159"/>
        <v>2551.75</v>
      </c>
      <c r="Z63" s="148">
        <v>300</v>
      </c>
      <c r="AA63" s="148">
        <v>1500</v>
      </c>
      <c r="AB63" s="153">
        <f t="shared" si="160"/>
        <v>-303</v>
      </c>
      <c r="AC63" s="153">
        <f t="shared" si="160"/>
        <v>-1051.75</v>
      </c>
      <c r="AD63" s="154">
        <v>506</v>
      </c>
      <c r="AE63" s="154">
        <v>1823.52</v>
      </c>
      <c r="AF63" s="151">
        <f t="shared" si="161"/>
        <v>-97</v>
      </c>
      <c r="AG63" s="151">
        <f t="shared" si="161"/>
        <v>-728.23</v>
      </c>
      <c r="AH63" s="155">
        <f t="shared" si="162"/>
        <v>2135</v>
      </c>
      <c r="AI63" s="155">
        <f t="shared" si="163"/>
        <v>8443.14</v>
      </c>
      <c r="AJ63" s="156">
        <v>2228</v>
      </c>
      <c r="AK63" s="156">
        <v>7836</v>
      </c>
      <c r="AL63" s="148">
        <f t="shared" si="184"/>
        <v>2200</v>
      </c>
      <c r="AM63" s="148">
        <f t="shared" si="185"/>
        <v>10240</v>
      </c>
      <c r="AN63" s="149">
        <f t="shared" si="166"/>
        <v>65</v>
      </c>
      <c r="AO63" s="149">
        <f t="shared" si="166"/>
        <v>1796.8600000000006</v>
      </c>
      <c r="AP63" s="150">
        <f t="shared" si="167"/>
        <v>93</v>
      </c>
      <c r="AQ63" s="150">
        <f t="shared" si="167"/>
        <v>-607.13999999999942</v>
      </c>
      <c r="AR63" s="368">
        <v>55</v>
      </c>
      <c r="AS63" s="368">
        <v>246.42</v>
      </c>
      <c r="AT63" s="368">
        <f>65+31</f>
        <v>96</v>
      </c>
      <c r="AU63" s="368">
        <v>401.49</v>
      </c>
      <c r="AV63" s="368">
        <f>97+90</f>
        <v>187</v>
      </c>
      <c r="AW63" s="368">
        <v>751.91</v>
      </c>
      <c r="AX63" s="148">
        <f t="shared" si="148"/>
        <v>338</v>
      </c>
      <c r="AY63" s="148">
        <f t="shared" si="149"/>
        <v>1399.82</v>
      </c>
      <c r="AZ63" s="168">
        <f>500+200</f>
        <v>700</v>
      </c>
      <c r="BA63" s="168">
        <f>500+900+900+900</f>
        <v>3200</v>
      </c>
      <c r="BB63" s="149">
        <f t="shared" si="168"/>
        <v>362</v>
      </c>
      <c r="BC63" s="149">
        <f t="shared" si="169"/>
        <v>1800.18</v>
      </c>
      <c r="BD63" s="148">
        <v>511</v>
      </c>
      <c r="BE63" s="210">
        <f t="shared" si="170"/>
        <v>173</v>
      </c>
      <c r="BF63" s="148">
        <f t="shared" si="171"/>
        <v>2473</v>
      </c>
      <c r="BG63" s="148">
        <f t="shared" si="172"/>
        <v>9842.9599999999991</v>
      </c>
      <c r="BH63" s="209">
        <v>2739</v>
      </c>
      <c r="BI63" s="150">
        <f t="shared" si="173"/>
        <v>2900</v>
      </c>
      <c r="BJ63" s="150">
        <f t="shared" si="174"/>
        <v>13440</v>
      </c>
      <c r="BK63" s="153">
        <f t="shared" si="153"/>
        <v>427</v>
      </c>
      <c r="BL63" s="153">
        <f t="shared" si="154"/>
        <v>3597.0400000000009</v>
      </c>
      <c r="BM63" s="210">
        <f t="shared" si="175"/>
        <v>266</v>
      </c>
      <c r="BN63" s="368">
        <f>128+194</f>
        <v>322</v>
      </c>
      <c r="BO63" s="372">
        <v>1270.67</v>
      </c>
      <c r="BP63" s="216">
        <v>537</v>
      </c>
      <c r="BQ63" s="216">
        <v>1983.42</v>
      </c>
      <c r="BR63" s="216">
        <v>671</v>
      </c>
      <c r="BS63" s="216">
        <v>2423.06</v>
      </c>
      <c r="BT63" s="216">
        <f t="shared" si="176"/>
        <v>1530</v>
      </c>
      <c r="BU63" s="216">
        <f t="shared" si="177"/>
        <v>5677.15</v>
      </c>
      <c r="BV63" s="216">
        <v>2100</v>
      </c>
      <c r="BW63" s="216">
        <v>9600</v>
      </c>
      <c r="BX63" s="216">
        <f t="shared" si="178"/>
        <v>570</v>
      </c>
      <c r="BY63" s="216">
        <f t="shared" si="178"/>
        <v>3922.8500000000004</v>
      </c>
      <c r="BZ63" s="216">
        <v>1793</v>
      </c>
      <c r="CA63" s="374">
        <f t="shared" si="182"/>
        <v>4003</v>
      </c>
      <c r="CB63" s="374">
        <f t="shared" si="183"/>
        <v>15520.109999999999</v>
      </c>
      <c r="CC63" s="216">
        <v>5000</v>
      </c>
      <c r="CD63" s="216">
        <v>23000</v>
      </c>
      <c r="CE63" s="216">
        <f t="shared" si="179"/>
        <v>997</v>
      </c>
      <c r="CF63" s="216">
        <f t="shared" si="179"/>
        <v>7479.8900000000012</v>
      </c>
      <c r="CG63" s="230">
        <v>4532</v>
      </c>
      <c r="CH63" s="228">
        <v>5262</v>
      </c>
    </row>
    <row r="64" spans="1:118" ht="16.5" thickBot="1" x14ac:dyDescent="0.3">
      <c r="A64" s="29" t="s">
        <v>63</v>
      </c>
      <c r="B64" s="360">
        <v>1151</v>
      </c>
      <c r="C64" s="360">
        <v>5111.83</v>
      </c>
      <c r="D64" s="360">
        <v>542</v>
      </c>
      <c r="E64" s="360">
        <v>2382.4299999999998</v>
      </c>
      <c r="F64" s="360">
        <v>333</v>
      </c>
      <c r="G64" s="360">
        <v>1480.36</v>
      </c>
      <c r="H64" s="364">
        <f t="shared" si="156"/>
        <v>2026</v>
      </c>
      <c r="I64" s="364">
        <f t="shared" si="156"/>
        <v>8974.6200000000008</v>
      </c>
      <c r="J64" s="188">
        <v>600</v>
      </c>
      <c r="K64" s="188">
        <v>2760</v>
      </c>
      <c r="L64" s="127">
        <f t="shared" si="157"/>
        <v>-1426</v>
      </c>
      <c r="M64" s="127">
        <f t="shared" si="157"/>
        <v>-6214.6200000000008</v>
      </c>
      <c r="N64" s="126">
        <v>534</v>
      </c>
      <c r="O64" s="126">
        <v>2107.42</v>
      </c>
      <c r="P64" s="9">
        <f t="shared" si="158"/>
        <v>-1492</v>
      </c>
      <c r="Q64" s="9">
        <f t="shared" si="158"/>
        <v>-6867.2000000000007</v>
      </c>
      <c r="R64" s="368">
        <v>282</v>
      </c>
      <c r="S64" s="368">
        <v>1277.48</v>
      </c>
      <c r="T64" s="368">
        <v>209</v>
      </c>
      <c r="U64" s="368">
        <v>947.54</v>
      </c>
      <c r="V64" s="368">
        <v>198</v>
      </c>
      <c r="W64" s="368">
        <v>910.64</v>
      </c>
      <c r="X64" s="151">
        <f t="shared" si="159"/>
        <v>689</v>
      </c>
      <c r="Y64" s="151">
        <f t="shared" si="159"/>
        <v>3135.66</v>
      </c>
      <c r="Z64" s="148">
        <v>300</v>
      </c>
      <c r="AA64" s="148">
        <v>1500</v>
      </c>
      <c r="AB64" s="153">
        <f t="shared" si="160"/>
        <v>-389</v>
      </c>
      <c r="AC64" s="153">
        <f t="shared" si="160"/>
        <v>-1635.6599999999999</v>
      </c>
      <c r="AD64" s="154">
        <v>512</v>
      </c>
      <c r="AE64" s="154">
        <v>2060.08</v>
      </c>
      <c r="AF64" s="151">
        <f t="shared" si="161"/>
        <v>-177</v>
      </c>
      <c r="AG64" s="151">
        <f t="shared" si="161"/>
        <v>-1075.58</v>
      </c>
      <c r="AH64" s="155">
        <f t="shared" si="162"/>
        <v>2715</v>
      </c>
      <c r="AI64" s="155">
        <f t="shared" si="163"/>
        <v>12110.28</v>
      </c>
      <c r="AJ64" s="156">
        <v>1046</v>
      </c>
      <c r="AK64" s="156">
        <v>4168</v>
      </c>
      <c r="AL64" s="148">
        <f t="shared" si="184"/>
        <v>900</v>
      </c>
      <c r="AM64" s="148">
        <f t="shared" si="185"/>
        <v>4260</v>
      </c>
      <c r="AN64" s="149">
        <f t="shared" si="166"/>
        <v>-1815</v>
      </c>
      <c r="AO64" s="149">
        <f t="shared" si="166"/>
        <v>-7850.2800000000007</v>
      </c>
      <c r="AP64" s="150">
        <f t="shared" si="167"/>
        <v>-1669</v>
      </c>
      <c r="AQ64" s="150">
        <f t="shared" si="167"/>
        <v>-7942.2800000000007</v>
      </c>
      <c r="AR64" s="368">
        <v>240</v>
      </c>
      <c r="AS64" s="368">
        <v>1075.29</v>
      </c>
      <c r="AT64" s="368">
        <v>248</v>
      </c>
      <c r="AU64" s="368">
        <v>1090.4000000000001</v>
      </c>
      <c r="AV64" s="368">
        <v>566</v>
      </c>
      <c r="AW64" s="368">
        <v>2456.9299999999998</v>
      </c>
      <c r="AX64" s="148">
        <f t="shared" si="148"/>
        <v>1054</v>
      </c>
      <c r="AY64" s="148">
        <f t="shared" si="149"/>
        <v>4622.62</v>
      </c>
      <c r="AZ64" s="168">
        <v>500</v>
      </c>
      <c r="BA64" s="168">
        <v>2300</v>
      </c>
      <c r="BB64" s="149">
        <f t="shared" si="168"/>
        <v>-554</v>
      </c>
      <c r="BC64" s="149">
        <f t="shared" si="169"/>
        <v>-2322.62</v>
      </c>
      <c r="BD64" s="148">
        <v>487</v>
      </c>
      <c r="BE64" s="210">
        <f t="shared" si="170"/>
        <v>-567</v>
      </c>
      <c r="BF64" s="148">
        <f t="shared" si="171"/>
        <v>3769</v>
      </c>
      <c r="BG64" s="148">
        <f t="shared" si="172"/>
        <v>16732.900000000001</v>
      </c>
      <c r="BH64" s="209">
        <v>1533</v>
      </c>
      <c r="BI64" s="150">
        <f t="shared" si="173"/>
        <v>1400</v>
      </c>
      <c r="BJ64" s="150">
        <f t="shared" si="174"/>
        <v>6560</v>
      </c>
      <c r="BK64" s="153">
        <f t="shared" si="153"/>
        <v>-2369</v>
      </c>
      <c r="BL64" s="153">
        <f t="shared" si="154"/>
        <v>-10172.900000000001</v>
      </c>
      <c r="BM64" s="210">
        <f t="shared" si="175"/>
        <v>-2236</v>
      </c>
      <c r="BN64" s="368">
        <v>826</v>
      </c>
      <c r="BO64" s="372">
        <v>3590.4</v>
      </c>
      <c r="BP64" s="216">
        <v>889</v>
      </c>
      <c r="BQ64" s="216">
        <v>3775.49</v>
      </c>
      <c r="BR64" s="216">
        <v>1428</v>
      </c>
      <c r="BS64" s="216">
        <v>5992.84</v>
      </c>
      <c r="BT64" s="216">
        <f t="shared" si="176"/>
        <v>3143</v>
      </c>
      <c r="BU64" s="216">
        <f t="shared" si="177"/>
        <v>13358.73</v>
      </c>
      <c r="BV64" s="216">
        <v>600</v>
      </c>
      <c r="BW64" s="216">
        <v>2700</v>
      </c>
      <c r="BX64" s="216">
        <f t="shared" si="178"/>
        <v>-2543</v>
      </c>
      <c r="BY64" s="216">
        <f t="shared" si="178"/>
        <v>-10658.73</v>
      </c>
      <c r="BZ64" s="216">
        <v>3488</v>
      </c>
      <c r="CA64" s="374">
        <f t="shared" si="182"/>
        <v>6912</v>
      </c>
      <c r="CB64" s="374">
        <f t="shared" si="183"/>
        <v>30091.63</v>
      </c>
      <c r="CC64" s="216">
        <v>2000</v>
      </c>
      <c r="CD64" s="216">
        <v>9200</v>
      </c>
      <c r="CE64" s="216">
        <f t="shared" si="179"/>
        <v>-4912</v>
      </c>
      <c r="CF64" s="216">
        <f t="shared" si="179"/>
        <v>-20891.63</v>
      </c>
      <c r="CG64" s="230">
        <v>5021</v>
      </c>
      <c r="CH64" s="228">
        <v>0</v>
      </c>
    </row>
    <row r="65" spans="1:86" ht="16.5" thickBot="1" x14ac:dyDescent="0.3">
      <c r="A65" s="29" t="s">
        <v>64</v>
      </c>
      <c r="B65" s="360"/>
      <c r="C65" s="360"/>
      <c r="D65" s="360"/>
      <c r="E65" s="360"/>
      <c r="F65" s="360"/>
      <c r="G65" s="360"/>
      <c r="H65" s="364"/>
      <c r="I65" s="364"/>
      <c r="J65" s="188"/>
      <c r="K65" s="188"/>
      <c r="L65" s="127"/>
      <c r="M65" s="127"/>
      <c r="N65" s="126">
        <v>0</v>
      </c>
      <c r="O65" s="126">
        <v>0</v>
      </c>
      <c r="P65" s="9"/>
      <c r="Q65" s="9"/>
      <c r="R65" s="368"/>
      <c r="S65" s="368"/>
      <c r="T65" s="368"/>
      <c r="U65" s="368"/>
      <c r="V65" s="368"/>
      <c r="W65" s="368"/>
      <c r="X65" s="151"/>
      <c r="Y65" s="151"/>
      <c r="Z65" s="148"/>
      <c r="AA65" s="148"/>
      <c r="AB65" s="153"/>
      <c r="AC65" s="153"/>
      <c r="AD65" s="154">
        <v>0</v>
      </c>
      <c r="AE65" s="154">
        <v>0</v>
      </c>
      <c r="AF65" s="151"/>
      <c r="AG65" s="151"/>
      <c r="AH65" s="155"/>
      <c r="AI65" s="155"/>
      <c r="AJ65" s="156"/>
      <c r="AK65" s="156"/>
      <c r="AL65" s="148"/>
      <c r="AM65" s="148"/>
      <c r="AN65" s="149"/>
      <c r="AO65" s="149"/>
      <c r="AP65" s="150"/>
      <c r="AQ65" s="150"/>
      <c r="AR65" s="368"/>
      <c r="AS65" s="368"/>
      <c r="AT65" s="368"/>
      <c r="AU65" s="368"/>
      <c r="AV65" s="368"/>
      <c r="AW65" s="368"/>
      <c r="AX65" s="148">
        <f t="shared" si="148"/>
        <v>0</v>
      </c>
      <c r="AY65" s="148">
        <f t="shared" si="149"/>
        <v>0</v>
      </c>
      <c r="AZ65" s="168"/>
      <c r="BA65" s="168"/>
      <c r="BB65" s="149">
        <f t="shared" si="168"/>
        <v>0</v>
      </c>
      <c r="BC65" s="149">
        <f t="shared" si="169"/>
        <v>0</v>
      </c>
      <c r="BD65" s="148"/>
      <c r="BE65" s="210">
        <f t="shared" si="170"/>
        <v>0</v>
      </c>
      <c r="BF65" s="148">
        <f t="shared" si="171"/>
        <v>0</v>
      </c>
      <c r="BG65" s="148">
        <f t="shared" si="172"/>
        <v>0</v>
      </c>
      <c r="BH65" s="209"/>
      <c r="BI65" s="150">
        <f t="shared" si="173"/>
        <v>0</v>
      </c>
      <c r="BJ65" s="150">
        <f t="shared" si="174"/>
        <v>0</v>
      </c>
      <c r="BK65" s="153">
        <f t="shared" si="153"/>
        <v>0</v>
      </c>
      <c r="BL65" s="153">
        <f t="shared" si="154"/>
        <v>0</v>
      </c>
      <c r="BM65" s="210">
        <f t="shared" si="175"/>
        <v>0</v>
      </c>
      <c r="BN65" s="368"/>
      <c r="BO65" s="372"/>
      <c r="BP65" s="216"/>
      <c r="BQ65" s="216"/>
      <c r="BR65" s="216"/>
      <c r="BS65" s="216"/>
      <c r="BT65" s="216">
        <f t="shared" si="176"/>
        <v>0</v>
      </c>
      <c r="BU65" s="216">
        <f t="shared" si="177"/>
        <v>0</v>
      </c>
      <c r="BV65" s="216"/>
      <c r="BW65" s="216"/>
      <c r="BX65" s="216"/>
      <c r="BY65" s="216"/>
      <c r="BZ65" s="216"/>
      <c r="CA65" s="374"/>
      <c r="CB65" s="374"/>
      <c r="CC65" s="216"/>
      <c r="CD65" s="216"/>
      <c r="CE65" s="216"/>
      <c r="CF65" s="216"/>
      <c r="CG65" s="230"/>
      <c r="CH65" s="228">
        <v>0</v>
      </c>
    </row>
    <row r="66" spans="1:86" ht="16.5" thickBot="1" x14ac:dyDescent="0.3">
      <c r="A66" s="29" t="s">
        <v>65</v>
      </c>
      <c r="B66" s="360">
        <v>875</v>
      </c>
      <c r="C66" s="360">
        <v>3886.06</v>
      </c>
      <c r="D66" s="360">
        <v>580</v>
      </c>
      <c r="E66" s="360">
        <v>2549.46</v>
      </c>
      <c r="F66" s="360">
        <v>263</v>
      </c>
      <c r="G66" s="360">
        <v>1169.17</v>
      </c>
      <c r="H66" s="364">
        <f t="shared" ref="H66:I68" si="186">B66+D66+F66</f>
        <v>1718</v>
      </c>
      <c r="I66" s="364">
        <f t="shared" si="186"/>
        <v>7604.6900000000005</v>
      </c>
      <c r="J66" s="188">
        <v>2300</v>
      </c>
      <c r="K66" s="188">
        <v>10580</v>
      </c>
      <c r="L66" s="127">
        <f t="shared" ref="L66:M69" si="187">J66-H66</f>
        <v>582</v>
      </c>
      <c r="M66" s="127">
        <f t="shared" si="187"/>
        <v>2975.3099999999995</v>
      </c>
      <c r="N66" s="126">
        <v>3099</v>
      </c>
      <c r="O66" s="126">
        <v>12186.48</v>
      </c>
      <c r="P66" s="9">
        <f t="shared" ref="P66:Q69" si="188">N66-H66</f>
        <v>1381</v>
      </c>
      <c r="Q66" s="9">
        <f t="shared" si="188"/>
        <v>4581.7899999999991</v>
      </c>
      <c r="R66" s="368">
        <v>148</v>
      </c>
      <c r="S66" s="368">
        <v>670.45</v>
      </c>
      <c r="T66" s="368"/>
      <c r="U66" s="368"/>
      <c r="V66" s="368"/>
      <c r="W66" s="368"/>
      <c r="X66" s="151">
        <f t="shared" ref="X66:Y68" si="189">R66+T66+V66</f>
        <v>148</v>
      </c>
      <c r="Y66" s="151">
        <f t="shared" si="189"/>
        <v>670.45</v>
      </c>
      <c r="Z66" s="148">
        <v>200</v>
      </c>
      <c r="AA66" s="148">
        <v>900</v>
      </c>
      <c r="AB66" s="153">
        <f t="shared" ref="AB66:AC69" si="190">Z66-X66</f>
        <v>52</v>
      </c>
      <c r="AC66" s="153">
        <f t="shared" si="190"/>
        <v>229.54999999999995</v>
      </c>
      <c r="AD66" s="154">
        <v>631</v>
      </c>
      <c r="AE66" s="154">
        <v>2493.66</v>
      </c>
      <c r="AF66" s="151">
        <f t="shared" ref="AF66:AG69" si="191">AD66-X66</f>
        <v>483</v>
      </c>
      <c r="AG66" s="151">
        <f t="shared" si="191"/>
        <v>1823.2099999999998</v>
      </c>
      <c r="AH66" s="155">
        <f t="shared" ref="AH66:AH68" si="192">H66+X66</f>
        <v>1866</v>
      </c>
      <c r="AI66" s="155">
        <f t="shared" ref="AI66:AI68" si="193">I66+Y66</f>
        <v>8275.1400000000012</v>
      </c>
      <c r="AJ66" s="156">
        <v>3730</v>
      </c>
      <c r="AK66" s="156">
        <v>14680</v>
      </c>
      <c r="AL66" s="148">
        <f t="shared" ref="AL66" si="194">J66+Z66</f>
        <v>2500</v>
      </c>
      <c r="AM66" s="148">
        <f t="shared" ref="AM66" si="195">K66+AA66</f>
        <v>11480</v>
      </c>
      <c r="AN66" s="149">
        <f t="shared" ref="AN66:AO68" si="196">AL66-AH66</f>
        <v>634</v>
      </c>
      <c r="AO66" s="149">
        <f t="shared" si="196"/>
        <v>3204.8599999999988</v>
      </c>
      <c r="AP66" s="150">
        <f t="shared" ref="AP66:AQ69" si="197">AJ66-AH66</f>
        <v>1864</v>
      </c>
      <c r="AQ66" s="150">
        <f t="shared" si="197"/>
        <v>6404.8599999999988</v>
      </c>
      <c r="AR66" s="368"/>
      <c r="AS66" s="368"/>
      <c r="AT66" s="368"/>
      <c r="AU66" s="368"/>
      <c r="AV66" s="368">
        <v>200</v>
      </c>
      <c r="AW66" s="368">
        <v>868.17</v>
      </c>
      <c r="AX66" s="148">
        <f t="shared" si="148"/>
        <v>200</v>
      </c>
      <c r="AY66" s="148">
        <f t="shared" si="149"/>
        <v>868.17</v>
      </c>
      <c r="AZ66" s="168">
        <f>200+500</f>
        <v>700</v>
      </c>
      <c r="BA66" s="168">
        <f>900+2300</f>
        <v>3200</v>
      </c>
      <c r="BB66" s="149">
        <f t="shared" si="168"/>
        <v>500</v>
      </c>
      <c r="BC66" s="149">
        <f t="shared" si="169"/>
        <v>2331.83</v>
      </c>
      <c r="BD66" s="148">
        <v>288</v>
      </c>
      <c r="BE66" s="210">
        <f t="shared" si="170"/>
        <v>88</v>
      </c>
      <c r="BF66" s="148">
        <f t="shared" si="171"/>
        <v>2066</v>
      </c>
      <c r="BG66" s="148">
        <f t="shared" si="172"/>
        <v>9143.3100000000013</v>
      </c>
      <c r="BH66" s="209">
        <v>4018</v>
      </c>
      <c r="BI66" s="150">
        <f t="shared" si="173"/>
        <v>3200</v>
      </c>
      <c r="BJ66" s="150">
        <f t="shared" si="174"/>
        <v>14680</v>
      </c>
      <c r="BK66" s="153">
        <f t="shared" si="153"/>
        <v>1134</v>
      </c>
      <c r="BL66" s="153">
        <f t="shared" si="154"/>
        <v>5536.6899999999987</v>
      </c>
      <c r="BM66" s="210">
        <f t="shared" si="175"/>
        <v>1952</v>
      </c>
      <c r="BN66" s="368">
        <v>63</v>
      </c>
      <c r="BO66" s="372">
        <v>273.83999999999997</v>
      </c>
      <c r="BP66" s="216">
        <v>223</v>
      </c>
      <c r="BQ66" s="216">
        <v>947.06</v>
      </c>
      <c r="BR66" s="216">
        <v>240</v>
      </c>
      <c r="BS66" s="216">
        <v>1007.2</v>
      </c>
      <c r="BT66" s="216">
        <f t="shared" si="176"/>
        <v>526</v>
      </c>
      <c r="BU66" s="216">
        <f t="shared" si="177"/>
        <v>2228.1</v>
      </c>
      <c r="BV66" s="216">
        <v>2800</v>
      </c>
      <c r="BW66" s="216">
        <v>12800</v>
      </c>
      <c r="BX66" s="216">
        <f t="shared" ref="BX66:BY68" si="198">BV66-BT66</f>
        <v>2274</v>
      </c>
      <c r="BY66" s="216">
        <f t="shared" si="198"/>
        <v>10571.9</v>
      </c>
      <c r="BZ66" s="216">
        <v>1926</v>
      </c>
      <c r="CA66" s="374">
        <f t="shared" ref="CA66:CB68" si="199">B66+D66+F66+R66+T66+V66+AR66+AT66+AV66+BN66+BP66+BR66</f>
        <v>2592</v>
      </c>
      <c r="CB66" s="374">
        <f t="shared" si="199"/>
        <v>11371.410000000002</v>
      </c>
      <c r="CC66" s="216">
        <v>6000</v>
      </c>
      <c r="CD66" s="216">
        <v>27500</v>
      </c>
      <c r="CE66" s="216">
        <f t="shared" ref="CE66:CF68" si="200">CC66-CA66</f>
        <v>3408</v>
      </c>
      <c r="CF66" s="216">
        <f t="shared" si="200"/>
        <v>16128.589999999998</v>
      </c>
      <c r="CG66" s="230">
        <v>5944</v>
      </c>
      <c r="CH66" s="228">
        <v>2330</v>
      </c>
    </row>
    <row r="67" spans="1:86" ht="16.5" thickBot="1" x14ac:dyDescent="0.3">
      <c r="A67" s="29" t="s">
        <v>66</v>
      </c>
      <c r="B67" s="360">
        <v>2216</v>
      </c>
      <c r="C67" s="360">
        <v>9841.73</v>
      </c>
      <c r="D67" s="360">
        <v>1207</v>
      </c>
      <c r="E67" s="360">
        <v>5305.53</v>
      </c>
      <c r="F67" s="360">
        <v>285</v>
      </c>
      <c r="G67" s="360">
        <v>1266.97</v>
      </c>
      <c r="H67" s="364">
        <f t="shared" si="186"/>
        <v>3708</v>
      </c>
      <c r="I67" s="364">
        <f t="shared" si="186"/>
        <v>16414.23</v>
      </c>
      <c r="J67" s="188">
        <v>4100</v>
      </c>
      <c r="K67" s="188">
        <v>18860</v>
      </c>
      <c r="L67" s="127">
        <f t="shared" si="187"/>
        <v>392</v>
      </c>
      <c r="M67" s="127">
        <f t="shared" si="187"/>
        <v>2445.7700000000004</v>
      </c>
      <c r="N67" s="126">
        <v>3647</v>
      </c>
      <c r="O67" s="126">
        <v>14333.43</v>
      </c>
      <c r="P67" s="9">
        <f t="shared" si="188"/>
        <v>-61</v>
      </c>
      <c r="Q67" s="9">
        <f t="shared" si="188"/>
        <v>-2080.7999999999993</v>
      </c>
      <c r="R67" s="368">
        <v>86</v>
      </c>
      <c r="S67" s="368">
        <v>389.59</v>
      </c>
      <c r="T67" s="368"/>
      <c r="U67" s="368"/>
      <c r="V67" s="368">
        <v>5</v>
      </c>
      <c r="W67" s="368">
        <v>23</v>
      </c>
      <c r="X67" s="151">
        <f t="shared" si="189"/>
        <v>91</v>
      </c>
      <c r="Y67" s="151">
        <f t="shared" si="189"/>
        <v>412.59</v>
      </c>
      <c r="Z67" s="148">
        <v>500</v>
      </c>
      <c r="AA67" s="148">
        <v>2400</v>
      </c>
      <c r="AB67" s="153">
        <f t="shared" si="190"/>
        <v>409</v>
      </c>
      <c r="AC67" s="153">
        <f t="shared" si="190"/>
        <v>1987.41</v>
      </c>
      <c r="AD67" s="154">
        <v>449</v>
      </c>
      <c r="AE67" s="154">
        <v>1770.06</v>
      </c>
      <c r="AF67" s="151">
        <f t="shared" si="191"/>
        <v>358</v>
      </c>
      <c r="AG67" s="151">
        <f t="shared" si="191"/>
        <v>1357.47</v>
      </c>
      <c r="AH67" s="155">
        <f t="shared" si="192"/>
        <v>3799</v>
      </c>
      <c r="AI67" s="155">
        <f t="shared" si="193"/>
        <v>16826.82</v>
      </c>
      <c r="AJ67" s="156">
        <v>4096</v>
      </c>
      <c r="AK67" s="156">
        <v>16103</v>
      </c>
      <c r="AL67" s="148">
        <f t="shared" ref="AL67:AL68" si="201">J67+Z67</f>
        <v>4600</v>
      </c>
      <c r="AM67" s="148">
        <f t="shared" ref="AM67:AM68" si="202">K67+AA67</f>
        <v>21260</v>
      </c>
      <c r="AN67" s="149">
        <f t="shared" si="196"/>
        <v>801</v>
      </c>
      <c r="AO67" s="149">
        <f t="shared" si="196"/>
        <v>4433.18</v>
      </c>
      <c r="AP67" s="150">
        <f t="shared" si="197"/>
        <v>297</v>
      </c>
      <c r="AQ67" s="150">
        <f t="shared" si="197"/>
        <v>-723.81999999999971</v>
      </c>
      <c r="AR67" s="368"/>
      <c r="AS67" s="368"/>
      <c r="AT67" s="368"/>
      <c r="AU67" s="368"/>
      <c r="AV67" s="368">
        <v>478</v>
      </c>
      <c r="AW67" s="368">
        <v>2074.92</v>
      </c>
      <c r="AX67" s="148">
        <f t="shared" si="148"/>
        <v>478</v>
      </c>
      <c r="AY67" s="148">
        <f t="shared" si="149"/>
        <v>2074.92</v>
      </c>
      <c r="AZ67" s="168">
        <f>500+200</f>
        <v>700</v>
      </c>
      <c r="BA67" s="168">
        <f>2300+900</f>
        <v>3200</v>
      </c>
      <c r="BB67" s="149">
        <f t="shared" si="168"/>
        <v>222</v>
      </c>
      <c r="BC67" s="149">
        <f t="shared" si="169"/>
        <v>1125.08</v>
      </c>
      <c r="BD67" s="148">
        <v>729</v>
      </c>
      <c r="BE67" s="210">
        <f t="shared" si="170"/>
        <v>251</v>
      </c>
      <c r="BF67" s="148">
        <f t="shared" si="171"/>
        <v>4277</v>
      </c>
      <c r="BG67" s="148">
        <f t="shared" si="172"/>
        <v>18901.739999999998</v>
      </c>
      <c r="BH67" s="209">
        <v>4825</v>
      </c>
      <c r="BI67" s="150">
        <f t="shared" si="173"/>
        <v>5300</v>
      </c>
      <c r="BJ67" s="150">
        <f t="shared" si="174"/>
        <v>24460</v>
      </c>
      <c r="BK67" s="153">
        <f t="shared" si="153"/>
        <v>1023</v>
      </c>
      <c r="BL67" s="153">
        <f t="shared" si="154"/>
        <v>5558.260000000002</v>
      </c>
      <c r="BM67" s="210">
        <f t="shared" si="175"/>
        <v>548</v>
      </c>
      <c r="BN67" s="368">
        <v>1005</v>
      </c>
      <c r="BO67" s="372">
        <v>4368.47</v>
      </c>
      <c r="BP67" s="216">
        <v>1668</v>
      </c>
      <c r="BQ67" s="216">
        <v>7083.84</v>
      </c>
      <c r="BR67" s="216">
        <v>2006</v>
      </c>
      <c r="BS67" s="216">
        <v>8418.52</v>
      </c>
      <c r="BT67" s="216">
        <f t="shared" si="176"/>
        <v>4679</v>
      </c>
      <c r="BU67" s="216">
        <f t="shared" si="177"/>
        <v>19870.830000000002</v>
      </c>
      <c r="BV67" s="216">
        <v>2700</v>
      </c>
      <c r="BW67" s="216">
        <v>12200</v>
      </c>
      <c r="BX67" s="216">
        <f t="shared" si="198"/>
        <v>-1979</v>
      </c>
      <c r="BY67" s="216">
        <f t="shared" si="198"/>
        <v>-7670.8300000000017</v>
      </c>
      <c r="BZ67" s="216">
        <v>4037</v>
      </c>
      <c r="CA67" s="374">
        <f t="shared" si="199"/>
        <v>8956</v>
      </c>
      <c r="CB67" s="374">
        <f t="shared" si="199"/>
        <v>38772.57</v>
      </c>
      <c r="CC67" s="216">
        <v>8000</v>
      </c>
      <c r="CD67" s="216">
        <v>36800</v>
      </c>
      <c r="CE67" s="216">
        <f t="shared" si="200"/>
        <v>-956</v>
      </c>
      <c r="CF67" s="216">
        <f t="shared" si="200"/>
        <v>-1972.5699999999997</v>
      </c>
      <c r="CG67" s="230">
        <v>8862</v>
      </c>
      <c r="CH67" s="228">
        <v>0</v>
      </c>
    </row>
    <row r="68" spans="1:86" ht="16.5" thickBot="1" x14ac:dyDescent="0.3">
      <c r="A68" s="29" t="s">
        <v>67</v>
      </c>
      <c r="B68" s="360">
        <v>388</v>
      </c>
      <c r="C68" s="360">
        <v>1723.19</v>
      </c>
      <c r="D68" s="360"/>
      <c r="E68" s="360"/>
      <c r="F68" s="360"/>
      <c r="G68" s="360"/>
      <c r="H68" s="364">
        <f t="shared" si="186"/>
        <v>388</v>
      </c>
      <c r="I68" s="364">
        <f t="shared" si="186"/>
        <v>1723.19</v>
      </c>
      <c r="J68" s="188">
        <v>300</v>
      </c>
      <c r="K68" s="188">
        <v>1380</v>
      </c>
      <c r="L68" s="127">
        <f t="shared" si="187"/>
        <v>-88</v>
      </c>
      <c r="M68" s="127">
        <f t="shared" si="187"/>
        <v>-343.19000000000005</v>
      </c>
      <c r="N68" s="126">
        <v>227</v>
      </c>
      <c r="O68" s="126">
        <v>894.6</v>
      </c>
      <c r="P68" s="9">
        <f t="shared" si="188"/>
        <v>-161</v>
      </c>
      <c r="Q68" s="9">
        <f t="shared" si="188"/>
        <v>-828.59</v>
      </c>
      <c r="R68" s="368">
        <v>30</v>
      </c>
      <c r="S68" s="368">
        <v>135.9</v>
      </c>
      <c r="T68" s="368">
        <v>20</v>
      </c>
      <c r="U68" s="368">
        <v>90.67</v>
      </c>
      <c r="V68" s="368"/>
      <c r="W68" s="368"/>
      <c r="X68" s="151">
        <f t="shared" si="189"/>
        <v>50</v>
      </c>
      <c r="Y68" s="151">
        <f t="shared" si="189"/>
        <v>226.57</v>
      </c>
      <c r="Z68" s="148">
        <v>200</v>
      </c>
      <c r="AA68" s="148">
        <v>900</v>
      </c>
      <c r="AB68" s="153">
        <f t="shared" si="190"/>
        <v>150</v>
      </c>
      <c r="AC68" s="153">
        <f t="shared" si="190"/>
        <v>673.43000000000006</v>
      </c>
      <c r="AD68" s="154">
        <v>118</v>
      </c>
      <c r="AE68" s="154">
        <v>469.13</v>
      </c>
      <c r="AF68" s="151">
        <f t="shared" si="191"/>
        <v>68</v>
      </c>
      <c r="AG68" s="151">
        <f t="shared" si="191"/>
        <v>242.56</v>
      </c>
      <c r="AH68" s="155">
        <f t="shared" si="192"/>
        <v>438</v>
      </c>
      <c r="AI68" s="155">
        <f t="shared" si="193"/>
        <v>1949.76</v>
      </c>
      <c r="AJ68" s="156">
        <v>345</v>
      </c>
      <c r="AK68" s="156">
        <v>1364</v>
      </c>
      <c r="AL68" s="148">
        <f t="shared" si="201"/>
        <v>500</v>
      </c>
      <c r="AM68" s="148">
        <f t="shared" si="202"/>
        <v>2280</v>
      </c>
      <c r="AN68" s="149">
        <f t="shared" si="196"/>
        <v>62</v>
      </c>
      <c r="AO68" s="149">
        <f>AM68-AI68</f>
        <v>330.24</v>
      </c>
      <c r="AP68" s="150">
        <f t="shared" si="197"/>
        <v>-93</v>
      </c>
      <c r="AQ68" s="150">
        <f t="shared" si="197"/>
        <v>-585.76</v>
      </c>
      <c r="AR68" s="368"/>
      <c r="AS68" s="368"/>
      <c r="AT68" s="368"/>
      <c r="AU68" s="368"/>
      <c r="AV68" s="368"/>
      <c r="AW68" s="368"/>
      <c r="AX68" s="148">
        <f t="shared" si="148"/>
        <v>0</v>
      </c>
      <c r="AY68" s="148">
        <f t="shared" si="149"/>
        <v>0</v>
      </c>
      <c r="AZ68" s="168">
        <v>200</v>
      </c>
      <c r="BA68" s="168">
        <v>900</v>
      </c>
      <c r="BB68" s="149">
        <f t="shared" si="168"/>
        <v>200</v>
      </c>
      <c r="BC68" s="149">
        <f t="shared" si="169"/>
        <v>900</v>
      </c>
      <c r="BD68" s="148">
        <v>31</v>
      </c>
      <c r="BE68" s="210">
        <f t="shared" si="170"/>
        <v>31</v>
      </c>
      <c r="BF68" s="148">
        <f t="shared" si="171"/>
        <v>438</v>
      </c>
      <c r="BG68" s="148">
        <f t="shared" si="172"/>
        <v>1949.76</v>
      </c>
      <c r="BH68" s="209">
        <v>376</v>
      </c>
      <c r="BI68" s="150">
        <f t="shared" si="173"/>
        <v>700</v>
      </c>
      <c r="BJ68" s="150">
        <f t="shared" si="174"/>
        <v>3180</v>
      </c>
      <c r="BK68" s="153">
        <f t="shared" si="153"/>
        <v>262</v>
      </c>
      <c r="BL68" s="153">
        <f t="shared" si="154"/>
        <v>1230.24</v>
      </c>
      <c r="BM68" s="210">
        <f t="shared" si="175"/>
        <v>-62</v>
      </c>
      <c r="BN68" s="368"/>
      <c r="BO68" s="372"/>
      <c r="BP68" s="216">
        <v>0</v>
      </c>
      <c r="BQ68" s="216">
        <v>0</v>
      </c>
      <c r="BR68" s="216">
        <v>26</v>
      </c>
      <c r="BS68" s="216">
        <v>109.11</v>
      </c>
      <c r="BT68" s="216">
        <f t="shared" si="176"/>
        <v>26</v>
      </c>
      <c r="BU68" s="216">
        <f t="shared" si="177"/>
        <v>109.11</v>
      </c>
      <c r="BV68" s="216">
        <v>300</v>
      </c>
      <c r="BW68" s="216">
        <v>1500</v>
      </c>
      <c r="BX68" s="216">
        <f t="shared" si="198"/>
        <v>274</v>
      </c>
      <c r="BY68" s="216">
        <f t="shared" si="198"/>
        <v>1390.89</v>
      </c>
      <c r="BZ68" s="216">
        <v>149</v>
      </c>
      <c r="CA68" s="374">
        <f t="shared" si="199"/>
        <v>464</v>
      </c>
      <c r="CB68" s="374">
        <f t="shared" si="199"/>
        <v>2058.8700000000003</v>
      </c>
      <c r="CC68" s="216">
        <v>1000</v>
      </c>
      <c r="CD68" s="216">
        <v>4600</v>
      </c>
      <c r="CE68" s="216">
        <f t="shared" si="200"/>
        <v>536</v>
      </c>
      <c r="CF68" s="216">
        <f t="shared" si="200"/>
        <v>2541.1299999999997</v>
      </c>
      <c r="CG68" s="230">
        <v>525</v>
      </c>
      <c r="CH68" s="228">
        <v>651</v>
      </c>
    </row>
    <row r="69" spans="1:86" s="131" customFormat="1" ht="16.5" thickBot="1" x14ac:dyDescent="0.3">
      <c r="A69" s="179" t="s">
        <v>68</v>
      </c>
      <c r="B69" s="180">
        <f>B59+B60+B61+B62+B63+B64+B65+B66+B67+B68+B57+B58</f>
        <v>44581</v>
      </c>
      <c r="C69" s="180">
        <f>C59+C60+C61+C62+C63+C64+C65+C66+C67+C68+C57+C58</f>
        <v>189102.48999999996</v>
      </c>
      <c r="D69" s="180">
        <f t="shared" ref="D69:I69" si="203">SUM(D57:D68)</f>
        <v>33258</v>
      </c>
      <c r="E69" s="180">
        <f t="shared" si="203"/>
        <v>139443.54999999999</v>
      </c>
      <c r="F69" s="180">
        <f t="shared" si="203"/>
        <v>31784</v>
      </c>
      <c r="G69" s="180">
        <f t="shared" si="203"/>
        <v>134876.63</v>
      </c>
      <c r="H69" s="180">
        <f t="shared" si="203"/>
        <v>109623</v>
      </c>
      <c r="I69" s="180">
        <f t="shared" si="203"/>
        <v>463422.67</v>
      </c>
      <c r="J69" s="180">
        <f>J59+J60+J61+J62+J63+J64+J65+J66+J67+J68+J57+J58</f>
        <v>91250</v>
      </c>
      <c r="K69" s="180">
        <f>K59+K60+K61+K62+K63+K64+K65+K66+K67+K68+K57+K58</f>
        <v>419760</v>
      </c>
      <c r="L69" s="180">
        <f t="shared" si="187"/>
        <v>-18373</v>
      </c>
      <c r="M69" s="180">
        <f t="shared" si="187"/>
        <v>-43662.669999999984</v>
      </c>
      <c r="N69" s="180">
        <f>SUM(N57:N68)</f>
        <v>105337</v>
      </c>
      <c r="O69" s="180">
        <f>SUM(O57:O68)</f>
        <v>399812.64</v>
      </c>
      <c r="P69" s="180">
        <f t="shared" si="188"/>
        <v>-4286</v>
      </c>
      <c r="Q69" s="180">
        <f t="shared" si="188"/>
        <v>-63610.02999999997</v>
      </c>
      <c r="R69" s="181">
        <f>R59+R60+R61+R62+R63+R64+R65+R66+R67+R68+R57+R58</f>
        <v>21555</v>
      </c>
      <c r="S69" s="181">
        <f>S59+S60+S61+S62+S63+S64+S65+S66+S67+S68+S57+S58</f>
        <v>92919.439999999988</v>
      </c>
      <c r="T69" s="181">
        <f t="shared" ref="T69:Y69" si="204">SUM(T57:T68)</f>
        <v>7722</v>
      </c>
      <c r="U69" s="181">
        <f t="shared" si="204"/>
        <v>31950.440000000002</v>
      </c>
      <c r="V69" s="181">
        <f t="shared" si="204"/>
        <v>7261</v>
      </c>
      <c r="W69" s="181">
        <f t="shared" si="204"/>
        <v>30279.69</v>
      </c>
      <c r="X69" s="181">
        <f t="shared" si="204"/>
        <v>36538</v>
      </c>
      <c r="Y69" s="181">
        <f t="shared" si="204"/>
        <v>155149.57</v>
      </c>
      <c r="Z69" s="181">
        <f>Z59+Z60+Z61+Z62+Z63+Z64+Z65+Z66+Z67+Z68+Z57+Z58</f>
        <v>40430</v>
      </c>
      <c r="AA69" s="181">
        <f>AA59+AA60+AA61+AA62+AA63+AA64+AA65+AA66+AA67+AA68+AA57+AA58</f>
        <v>182400</v>
      </c>
      <c r="AB69" s="181">
        <f t="shared" si="190"/>
        <v>3892</v>
      </c>
      <c r="AC69" s="181">
        <f t="shared" si="190"/>
        <v>27250.429999999993</v>
      </c>
      <c r="AD69" s="181">
        <f>SUM(AD57:AD68)</f>
        <v>34885</v>
      </c>
      <c r="AE69" s="181">
        <f>SUM(AE57:AE68)</f>
        <v>129215.56000000003</v>
      </c>
      <c r="AF69" s="181">
        <f t="shared" si="191"/>
        <v>-1653</v>
      </c>
      <c r="AG69" s="181">
        <f t="shared" si="191"/>
        <v>-25934.00999999998</v>
      </c>
      <c r="AH69" s="181">
        <f t="shared" ref="AH69:AM69" si="205">SUM(AH57:AH68)</f>
        <v>146161</v>
      </c>
      <c r="AI69" s="181">
        <f t="shared" si="205"/>
        <v>618572.24000000011</v>
      </c>
      <c r="AJ69" s="181">
        <f t="shared" si="205"/>
        <v>140222</v>
      </c>
      <c r="AK69" s="181">
        <f t="shared" si="205"/>
        <v>529028</v>
      </c>
      <c r="AL69" s="181">
        <f t="shared" si="205"/>
        <v>131680</v>
      </c>
      <c r="AM69" s="181">
        <f t="shared" si="205"/>
        <v>602160</v>
      </c>
      <c r="AN69" s="181">
        <f>AL69-AH69</f>
        <v>-14481</v>
      </c>
      <c r="AO69" s="182">
        <f>AM69-AI69</f>
        <v>-16412.240000000107</v>
      </c>
      <c r="AP69" s="181">
        <f t="shared" si="197"/>
        <v>-5939</v>
      </c>
      <c r="AQ69" s="181">
        <f t="shared" si="197"/>
        <v>-89544.240000000107</v>
      </c>
      <c r="AR69" s="181">
        <f t="shared" ref="AR69:AU69" si="206">SUM(AR57:AR68)</f>
        <v>6867</v>
      </c>
      <c r="AS69" s="181">
        <f t="shared" si="206"/>
        <v>27635.410000000003</v>
      </c>
      <c r="AT69" s="181">
        <f t="shared" si="206"/>
        <v>7640</v>
      </c>
      <c r="AU69" s="181">
        <f t="shared" si="206"/>
        <v>29845.160000000003</v>
      </c>
      <c r="AV69" s="181">
        <f t="shared" ref="AV69:BL69" si="207">SUM(AV57:AV68)</f>
        <v>19682</v>
      </c>
      <c r="AW69" s="181">
        <f t="shared" si="207"/>
        <v>80230.549999999988</v>
      </c>
      <c r="AX69" s="181">
        <f t="shared" si="207"/>
        <v>34189</v>
      </c>
      <c r="AY69" s="181">
        <f t="shared" si="207"/>
        <v>137711.12000000005</v>
      </c>
      <c r="AZ69" s="181">
        <f t="shared" si="207"/>
        <v>21830</v>
      </c>
      <c r="BA69" s="181">
        <f t="shared" si="207"/>
        <v>102500</v>
      </c>
      <c r="BB69" s="181">
        <f t="shared" si="207"/>
        <v>-12359</v>
      </c>
      <c r="BC69" s="181">
        <f t="shared" si="207"/>
        <v>-35211.12000000001</v>
      </c>
      <c r="BD69" s="181">
        <f t="shared" si="207"/>
        <v>27008</v>
      </c>
      <c r="BE69" s="181">
        <f t="shared" si="207"/>
        <v>-7181</v>
      </c>
      <c r="BF69" s="181">
        <f t="shared" si="207"/>
        <v>180350</v>
      </c>
      <c r="BG69" s="181">
        <f t="shared" si="207"/>
        <v>756283.36</v>
      </c>
      <c r="BH69" s="181">
        <f t="shared" si="207"/>
        <v>167230</v>
      </c>
      <c r="BI69" s="181">
        <f t="shared" si="207"/>
        <v>153510</v>
      </c>
      <c r="BJ69" s="181">
        <f t="shared" si="207"/>
        <v>704660</v>
      </c>
      <c r="BK69" s="181">
        <f t="shared" si="207"/>
        <v>-26840</v>
      </c>
      <c r="BL69" s="181">
        <f t="shared" si="207"/>
        <v>-51623.359999999971</v>
      </c>
      <c r="BM69" s="181">
        <f t="shared" ref="BM69:BO69" si="208">SUM(BM57:BM68)</f>
        <v>-13120</v>
      </c>
      <c r="BN69" s="181">
        <f>SUM(BN57:BN68)</f>
        <v>29989</v>
      </c>
      <c r="BO69" s="214">
        <f t="shared" si="208"/>
        <v>123863.54</v>
      </c>
      <c r="BP69" s="220">
        <f t="shared" ref="BP69:CG69" si="209">SUM(BP57:BP68)</f>
        <v>34099</v>
      </c>
      <c r="BQ69" s="220">
        <f t="shared" si="209"/>
        <v>137530.6</v>
      </c>
      <c r="BR69" s="220">
        <f t="shared" si="209"/>
        <v>45072</v>
      </c>
      <c r="BS69" s="220">
        <f t="shared" si="209"/>
        <v>180561.32</v>
      </c>
      <c r="BT69" s="218">
        <f t="shared" si="209"/>
        <v>109160</v>
      </c>
      <c r="BU69" s="218">
        <f t="shared" si="209"/>
        <v>441955.45999999996</v>
      </c>
      <c r="BV69" s="218">
        <f t="shared" si="209"/>
        <v>97640</v>
      </c>
      <c r="BW69" s="218">
        <f t="shared" si="209"/>
        <v>443300</v>
      </c>
      <c r="BX69" s="218">
        <f t="shared" si="209"/>
        <v>-11520</v>
      </c>
      <c r="BY69" s="218">
        <f t="shared" si="209"/>
        <v>1344.5400000000161</v>
      </c>
      <c r="BZ69" s="218">
        <f t="shared" si="209"/>
        <v>111216</v>
      </c>
      <c r="CA69" s="218">
        <f t="shared" si="209"/>
        <v>289510</v>
      </c>
      <c r="CB69" s="218">
        <f t="shared" si="209"/>
        <v>1198416.43</v>
      </c>
      <c r="CC69" s="218">
        <f>SUM(CC57:CC68)</f>
        <v>251150</v>
      </c>
      <c r="CD69" s="218">
        <f t="shared" si="209"/>
        <v>1136500</v>
      </c>
      <c r="CE69" s="218">
        <f t="shared" si="209"/>
        <v>-38360</v>
      </c>
      <c r="CF69" s="218">
        <f t="shared" si="209"/>
        <v>-61916.42999999992</v>
      </c>
      <c r="CG69" s="224">
        <f t="shared" si="209"/>
        <v>278446</v>
      </c>
      <c r="CH69" s="218">
        <f>SUM(CH57:CH68)</f>
        <v>108391</v>
      </c>
    </row>
    <row r="70" spans="1:86" ht="16.5" thickBot="1" x14ac:dyDescent="0.3">
      <c r="A70" s="30"/>
      <c r="B70" s="360"/>
      <c r="C70" s="360"/>
      <c r="D70" s="360"/>
      <c r="E70" s="360"/>
      <c r="F70" s="360"/>
      <c r="G70" s="360"/>
      <c r="H70" s="364"/>
      <c r="I70" s="364"/>
      <c r="J70" s="188"/>
      <c r="K70" s="188"/>
      <c r="L70" s="127"/>
      <c r="M70" s="127"/>
      <c r="N70" s="126"/>
      <c r="O70" s="126"/>
      <c r="P70" s="9"/>
      <c r="Q70" s="9"/>
      <c r="R70" s="368"/>
      <c r="S70" s="368"/>
      <c r="T70" s="368"/>
      <c r="U70" s="368"/>
      <c r="V70" s="368"/>
      <c r="W70" s="368"/>
      <c r="X70" s="151"/>
      <c r="Y70" s="151"/>
      <c r="Z70" s="152"/>
      <c r="AA70" s="152"/>
      <c r="AB70" s="152"/>
      <c r="AC70" s="152"/>
      <c r="AD70" s="154"/>
      <c r="AE70" s="154"/>
      <c r="AF70" s="151"/>
      <c r="AG70" s="151"/>
      <c r="AH70" s="155"/>
      <c r="AI70" s="155"/>
      <c r="AJ70" s="156"/>
      <c r="AK70" s="156"/>
      <c r="AL70" s="148"/>
      <c r="AM70" s="148"/>
      <c r="AN70" s="149"/>
      <c r="AO70" s="149"/>
      <c r="AP70" s="150"/>
      <c r="AQ70" s="150"/>
      <c r="AR70" s="368"/>
      <c r="AS70" s="368"/>
      <c r="AT70" s="368"/>
      <c r="AU70" s="368"/>
      <c r="AV70" s="368"/>
      <c r="AW70" s="368"/>
      <c r="AX70" s="148"/>
      <c r="AY70" s="148"/>
      <c r="AZ70" s="168"/>
      <c r="BA70" s="168"/>
      <c r="BB70" s="149"/>
      <c r="BC70" s="149"/>
      <c r="BD70" s="148"/>
      <c r="BE70" s="210"/>
      <c r="BF70" s="148"/>
      <c r="BG70" s="148"/>
      <c r="BH70" s="209"/>
      <c r="BI70" s="150"/>
      <c r="BJ70" s="150"/>
      <c r="BK70" s="153"/>
      <c r="BL70" s="153"/>
      <c r="BM70" s="210"/>
      <c r="BN70" s="368"/>
      <c r="BO70" s="372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374"/>
      <c r="CB70" s="374"/>
      <c r="CC70" s="216"/>
      <c r="CD70" s="216"/>
      <c r="CE70" s="216"/>
      <c r="CF70" s="216"/>
      <c r="CG70" s="230"/>
      <c r="CH70" s="228"/>
    </row>
    <row r="71" spans="1:86" s="36" customFormat="1" ht="16.5" thickBot="1" x14ac:dyDescent="0.3">
      <c r="A71" s="176" t="s">
        <v>69</v>
      </c>
      <c r="B71" s="183">
        <f>B24+B53+B69+B55</f>
        <v>160819</v>
      </c>
      <c r="C71" s="183">
        <f t="shared" ref="C71:AU71" si="210">C24+C53+C69+C55</f>
        <v>670251.83000000007</v>
      </c>
      <c r="D71" s="183">
        <f t="shared" si="210"/>
        <v>130674</v>
      </c>
      <c r="E71" s="183">
        <f t="shared" si="210"/>
        <v>532411.12999999989</v>
      </c>
      <c r="F71" s="183">
        <f t="shared" si="210"/>
        <v>101936</v>
      </c>
      <c r="G71" s="183">
        <f t="shared" si="210"/>
        <v>420185.35000000003</v>
      </c>
      <c r="H71" s="183">
        <f t="shared" si="210"/>
        <v>393429</v>
      </c>
      <c r="I71" s="183">
        <f t="shared" si="210"/>
        <v>1622848.3099999998</v>
      </c>
      <c r="J71" s="183">
        <f t="shared" si="210"/>
        <v>340550</v>
      </c>
      <c r="K71" s="183">
        <f t="shared" si="210"/>
        <v>1525810</v>
      </c>
      <c r="L71" s="183">
        <f t="shared" si="210"/>
        <v>-52879</v>
      </c>
      <c r="M71" s="183">
        <f t="shared" si="210"/>
        <v>-97038.309999999969</v>
      </c>
      <c r="N71" s="183">
        <f t="shared" si="210"/>
        <v>347361</v>
      </c>
      <c r="O71" s="183">
        <f t="shared" si="210"/>
        <v>1278651.31</v>
      </c>
      <c r="P71" s="183">
        <f t="shared" si="210"/>
        <v>-46144</v>
      </c>
      <c r="Q71" s="183">
        <f t="shared" si="210"/>
        <v>-352653.11</v>
      </c>
      <c r="R71" s="183">
        <f t="shared" si="210"/>
        <v>83044</v>
      </c>
      <c r="S71" s="183">
        <f t="shared" si="210"/>
        <v>346724.43000000005</v>
      </c>
      <c r="T71" s="183">
        <f t="shared" si="210"/>
        <v>61518</v>
      </c>
      <c r="U71" s="183">
        <f t="shared" si="210"/>
        <v>253621.42</v>
      </c>
      <c r="V71" s="183">
        <f t="shared" si="210"/>
        <v>52303</v>
      </c>
      <c r="W71" s="183">
        <f t="shared" si="210"/>
        <v>215283.20000000001</v>
      </c>
      <c r="X71" s="183">
        <f t="shared" si="210"/>
        <v>196865</v>
      </c>
      <c r="Y71" s="183">
        <f t="shared" si="210"/>
        <v>815629.04999999993</v>
      </c>
      <c r="Z71" s="183">
        <f t="shared" si="210"/>
        <v>216420</v>
      </c>
      <c r="AA71" s="183">
        <f t="shared" si="210"/>
        <v>976820</v>
      </c>
      <c r="AB71" s="183">
        <f t="shared" si="210"/>
        <v>19555</v>
      </c>
      <c r="AC71" s="183">
        <f t="shared" si="210"/>
        <v>161190.95000000001</v>
      </c>
      <c r="AD71" s="183">
        <f t="shared" si="210"/>
        <v>218570</v>
      </c>
      <c r="AE71" s="183">
        <f t="shared" si="210"/>
        <v>800484.27</v>
      </c>
      <c r="AF71" s="183">
        <f t="shared" si="210"/>
        <v>21705</v>
      </c>
      <c r="AG71" s="183">
        <f t="shared" si="210"/>
        <v>-15144.779999999933</v>
      </c>
      <c r="AH71" s="183">
        <f t="shared" si="210"/>
        <v>590294</v>
      </c>
      <c r="AI71" s="183">
        <f t="shared" si="210"/>
        <v>2438477.3600000003</v>
      </c>
      <c r="AJ71" s="183">
        <f t="shared" si="210"/>
        <v>565942</v>
      </c>
      <c r="AK71" s="183">
        <f t="shared" si="210"/>
        <v>2079136</v>
      </c>
      <c r="AL71" s="183">
        <f>AL24+AL53+AL69+AL55</f>
        <v>556970</v>
      </c>
      <c r="AM71" s="183">
        <f t="shared" si="210"/>
        <v>2502630</v>
      </c>
      <c r="AN71" s="183">
        <f t="shared" si="210"/>
        <v>-33324</v>
      </c>
      <c r="AO71" s="183">
        <f t="shared" si="210"/>
        <v>64152.63999999981</v>
      </c>
      <c r="AP71" s="183">
        <f t="shared" si="210"/>
        <v>-24352</v>
      </c>
      <c r="AQ71" s="183">
        <f t="shared" si="210"/>
        <v>-359341.36000000022</v>
      </c>
      <c r="AR71" s="183">
        <f t="shared" si="210"/>
        <v>34615</v>
      </c>
      <c r="AS71" s="183">
        <f t="shared" si="210"/>
        <v>137265.56</v>
      </c>
      <c r="AT71" s="183">
        <f t="shared" si="210"/>
        <v>35866</v>
      </c>
      <c r="AU71" s="183">
        <f t="shared" si="210"/>
        <v>143748.76</v>
      </c>
      <c r="AV71" s="183">
        <f>AV24+AV53+AV69+AV55</f>
        <v>87481</v>
      </c>
      <c r="AW71" s="183">
        <f t="shared" ref="AW71:BL71" si="211">AW24+AW53+AW69+AW55</f>
        <v>345724.97</v>
      </c>
      <c r="AX71" s="183">
        <f t="shared" si="211"/>
        <v>157962</v>
      </c>
      <c r="AY71" s="183">
        <f t="shared" si="211"/>
        <v>626739.29</v>
      </c>
      <c r="AZ71" s="183">
        <f t="shared" si="211"/>
        <v>163790</v>
      </c>
      <c r="BA71" s="183">
        <f t="shared" si="211"/>
        <v>728600</v>
      </c>
      <c r="BB71" s="183">
        <f t="shared" si="211"/>
        <v>5828</v>
      </c>
      <c r="BC71" s="183">
        <f t="shared" si="211"/>
        <v>101860.70999999999</v>
      </c>
      <c r="BD71" s="183">
        <f t="shared" si="211"/>
        <v>169762</v>
      </c>
      <c r="BE71" s="183">
        <f>BE24+BE53+BE69+BE55</f>
        <v>11800</v>
      </c>
      <c r="BF71" s="183">
        <f t="shared" si="211"/>
        <v>748256</v>
      </c>
      <c r="BG71" s="183">
        <f t="shared" si="211"/>
        <v>3065216.65</v>
      </c>
      <c r="BH71" s="183">
        <f t="shared" si="211"/>
        <v>735710</v>
      </c>
      <c r="BI71" s="183">
        <f t="shared" si="211"/>
        <v>720760</v>
      </c>
      <c r="BJ71" s="183">
        <f t="shared" si="211"/>
        <v>3231230</v>
      </c>
      <c r="BK71" s="183">
        <f t="shared" si="211"/>
        <v>-27496</v>
      </c>
      <c r="BL71" s="183">
        <f t="shared" si="211"/>
        <v>166013.34999999998</v>
      </c>
      <c r="BM71" s="183">
        <f>BM24+BM53+BM69+BM55</f>
        <v>-12546</v>
      </c>
      <c r="BN71" s="183">
        <f>BN24+BN53+BN69+BN55</f>
        <v>109437</v>
      </c>
      <c r="BO71" s="215">
        <f t="shared" ref="BO71" si="212">BO24+BO53+BO69+BO55</f>
        <v>436427.38</v>
      </c>
      <c r="BP71" s="219">
        <f t="shared" ref="BP71:CG71" si="213">BP24+BP53+BP69+BP55</f>
        <v>114478</v>
      </c>
      <c r="BQ71" s="219">
        <f t="shared" si="213"/>
        <v>451983.46</v>
      </c>
      <c r="BR71" s="219">
        <f t="shared" si="213"/>
        <v>135422</v>
      </c>
      <c r="BS71" s="219">
        <f t="shared" si="213"/>
        <v>523954.07000000007</v>
      </c>
      <c r="BT71" s="217">
        <f t="shared" si="213"/>
        <v>359337</v>
      </c>
      <c r="BU71" s="217">
        <f t="shared" si="213"/>
        <v>1412364.91</v>
      </c>
      <c r="BV71" s="217">
        <f t="shared" si="213"/>
        <v>353700</v>
      </c>
      <c r="BW71" s="217">
        <f t="shared" si="213"/>
        <v>1593000</v>
      </c>
      <c r="BX71" s="217">
        <f t="shared" si="213"/>
        <v>-5637</v>
      </c>
      <c r="BY71" s="217">
        <f t="shared" si="213"/>
        <v>180635.09</v>
      </c>
      <c r="BZ71" s="217">
        <f t="shared" si="213"/>
        <v>360255</v>
      </c>
      <c r="CA71" s="217">
        <f>CA24+CA53+CA69+CA55</f>
        <v>1107593</v>
      </c>
      <c r="CB71" s="217">
        <f t="shared" si="213"/>
        <v>4478122.09</v>
      </c>
      <c r="CC71" s="217">
        <f t="shared" si="213"/>
        <v>1068460</v>
      </c>
      <c r="CD71" s="217">
        <f t="shared" si="213"/>
        <v>4776400</v>
      </c>
      <c r="CE71" s="217">
        <f t="shared" si="213"/>
        <v>-39133</v>
      </c>
      <c r="CF71" s="217">
        <f t="shared" si="213"/>
        <v>298277.91000000027</v>
      </c>
      <c r="CG71" s="223">
        <f t="shared" si="213"/>
        <v>1095965</v>
      </c>
      <c r="CH71" s="217">
        <f>CH24+CH53+CH69+CH55</f>
        <v>1037748</v>
      </c>
    </row>
    <row r="72" spans="1:86" ht="16.5" thickBot="1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368"/>
      <c r="AS72" s="368"/>
      <c r="AT72" s="368"/>
      <c r="AU72" s="368"/>
      <c r="AV72" s="368"/>
      <c r="AW72" s="368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368"/>
      <c r="BO72" s="372"/>
      <c r="BP72" s="216"/>
      <c r="BQ72" s="216"/>
    </row>
  </sheetData>
  <mergeCells count="40">
    <mergeCell ref="BR3:BS3"/>
    <mergeCell ref="AX3:AY3"/>
    <mergeCell ref="AL3:AM3"/>
    <mergeCell ref="AN3:AO3"/>
    <mergeCell ref="AP3:AQ3"/>
    <mergeCell ref="AR3:AS3"/>
    <mergeCell ref="AV3:AW3"/>
    <mergeCell ref="AT3:AU3"/>
    <mergeCell ref="BP3:BQ3"/>
    <mergeCell ref="BN3:BO3"/>
    <mergeCell ref="BK3:BL3"/>
    <mergeCell ref="BB3:BC3"/>
    <mergeCell ref="AZ3:BA3"/>
    <mergeCell ref="BF3:BG3"/>
    <mergeCell ref="BI3:BJ3"/>
    <mergeCell ref="X3:Y3"/>
    <mergeCell ref="Z3:AA3"/>
    <mergeCell ref="N3:O3"/>
    <mergeCell ref="L3:M3"/>
    <mergeCell ref="A3:A4"/>
    <mergeCell ref="B3:C3"/>
    <mergeCell ref="D3:E3"/>
    <mergeCell ref="F3:G3"/>
    <mergeCell ref="H3:I3"/>
    <mergeCell ref="J3:K3"/>
    <mergeCell ref="P3:Q3"/>
    <mergeCell ref="R3:S3"/>
    <mergeCell ref="T3:U3"/>
    <mergeCell ref="V3:W3"/>
    <mergeCell ref="AB3:AC3"/>
    <mergeCell ref="AD3:AE3"/>
    <mergeCell ref="AF3:AG3"/>
    <mergeCell ref="AH3:AI3"/>
    <mergeCell ref="AJ3:AK3"/>
    <mergeCell ref="CE3:CF3"/>
    <mergeCell ref="BT3:BU3"/>
    <mergeCell ref="BV3:BW3"/>
    <mergeCell ref="BX3:BY3"/>
    <mergeCell ref="CA3:CB3"/>
    <mergeCell ref="CC3:CD3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4"/>
  <sheetViews>
    <sheetView workbookViewId="0">
      <pane xSplit="1" ySplit="5" topLeftCell="AO46" activePane="bottomRight" state="frozen"/>
      <selection pane="topRight" activeCell="B1" sqref="B1"/>
      <selection pane="bottomLeft" activeCell="A6" sqref="A6"/>
      <selection pane="bottomRight" activeCell="BH62" sqref="BH62"/>
    </sheetView>
  </sheetViews>
  <sheetFormatPr defaultRowHeight="15" x14ac:dyDescent="0.25"/>
  <cols>
    <col min="1" max="1" width="22.42578125" customWidth="1"/>
    <col min="4" max="4" width="9.140625" style="39"/>
    <col min="5" max="5" width="9.140625" style="47"/>
    <col min="7" max="7" width="9.140625" style="47"/>
    <col min="10" max="11" width="9.140625" style="39"/>
    <col min="15" max="15" width="9.140625" style="47"/>
    <col min="35" max="35" width="9.140625" style="47"/>
    <col min="37" max="37" width="9.140625" style="47"/>
    <col min="41" max="41" width="9.140625" style="47"/>
    <col min="42" max="42" width="9.140625" style="39"/>
    <col min="43" max="43" width="9.140625" style="47"/>
    <col min="47" max="47" width="9.140625" style="47"/>
    <col min="49" max="49" width="11.28515625" customWidth="1"/>
    <col min="50" max="50" width="10.28515625" customWidth="1"/>
    <col min="51" max="51" width="10.42578125" customWidth="1"/>
    <col min="53" max="53" width="10.7109375" customWidth="1"/>
  </cols>
  <sheetData>
    <row r="1" spans="1:61" ht="15.75" x14ac:dyDescent="0.25">
      <c r="A1" s="34" t="s">
        <v>193</v>
      </c>
    </row>
    <row r="2" spans="1:61" ht="15.75" thickBot="1" x14ac:dyDescent="0.3"/>
    <row r="3" spans="1:61" ht="15.75" customHeight="1" thickBot="1" x14ac:dyDescent="0.3">
      <c r="A3" s="29" t="s">
        <v>73</v>
      </c>
      <c r="B3" s="313" t="s">
        <v>181</v>
      </c>
      <c r="C3" s="313"/>
      <c r="D3" s="314" t="s">
        <v>194</v>
      </c>
      <c r="E3" s="314"/>
      <c r="F3" s="315" t="s">
        <v>75</v>
      </c>
      <c r="G3" s="315"/>
      <c r="H3" s="303" t="s">
        <v>74</v>
      </c>
      <c r="I3" s="303"/>
      <c r="J3" s="312" t="s">
        <v>204</v>
      </c>
      <c r="K3" s="312"/>
      <c r="L3" s="313" t="s">
        <v>196</v>
      </c>
      <c r="M3" s="313"/>
      <c r="N3" s="316" t="s">
        <v>197</v>
      </c>
      <c r="O3" s="316"/>
      <c r="P3" s="315" t="s">
        <v>75</v>
      </c>
      <c r="Q3" s="315"/>
      <c r="R3" s="303" t="s">
        <v>198</v>
      </c>
      <c r="S3" s="303"/>
      <c r="T3" s="317" t="s">
        <v>180</v>
      </c>
      <c r="U3" s="317"/>
      <c r="V3" s="318" t="s">
        <v>199</v>
      </c>
      <c r="W3" s="318"/>
      <c r="X3" s="319" t="s">
        <v>200</v>
      </c>
      <c r="Y3" s="319"/>
      <c r="Z3" s="251" t="s">
        <v>201</v>
      </c>
      <c r="AA3" s="251"/>
      <c r="AB3" s="320" t="s">
        <v>202</v>
      </c>
      <c r="AC3" s="320"/>
      <c r="AD3" s="321" t="s">
        <v>183</v>
      </c>
      <c r="AE3" s="321"/>
      <c r="AF3" s="304" t="s">
        <v>205</v>
      </c>
      <c r="AG3" s="305"/>
      <c r="AH3" s="308" t="s">
        <v>206</v>
      </c>
      <c r="AI3" s="309"/>
      <c r="AJ3" s="251" t="s">
        <v>236</v>
      </c>
      <c r="AK3" s="251"/>
      <c r="AL3" s="303" t="s">
        <v>207</v>
      </c>
      <c r="AM3" s="303"/>
      <c r="AN3" s="312" t="s">
        <v>204</v>
      </c>
      <c r="AO3" s="312"/>
      <c r="AP3" s="308" t="s">
        <v>216</v>
      </c>
      <c r="AQ3" s="309"/>
      <c r="AR3" s="304" t="s">
        <v>235</v>
      </c>
      <c r="AS3" s="305"/>
      <c r="AT3" s="251" t="s">
        <v>237</v>
      </c>
      <c r="AU3" s="251"/>
      <c r="AV3" s="295" t="s">
        <v>275</v>
      </c>
      <c r="AW3" s="296"/>
      <c r="AX3" s="299" t="s">
        <v>276</v>
      </c>
      <c r="AY3" s="300"/>
      <c r="AZ3" s="251" t="s">
        <v>277</v>
      </c>
      <c r="BA3" s="251"/>
      <c r="BB3" s="295" t="s">
        <v>278</v>
      </c>
      <c r="BC3" s="296"/>
      <c r="BD3" s="299" t="s">
        <v>279</v>
      </c>
      <c r="BE3" s="300"/>
      <c r="BF3" s="251" t="s">
        <v>280</v>
      </c>
      <c r="BG3" s="294"/>
      <c r="BH3" s="354" t="s">
        <v>300</v>
      </c>
      <c r="BI3" s="216" t="s">
        <v>295</v>
      </c>
    </row>
    <row r="4" spans="1:61" ht="43.5" customHeight="1" thickBot="1" x14ac:dyDescent="0.3">
      <c r="A4" s="29"/>
      <c r="B4" s="313" t="s">
        <v>76</v>
      </c>
      <c r="C4" s="313"/>
      <c r="D4" s="314"/>
      <c r="E4" s="314"/>
      <c r="F4" s="315"/>
      <c r="G4" s="315"/>
      <c r="H4" s="303"/>
      <c r="I4" s="303"/>
      <c r="J4" s="312"/>
      <c r="K4" s="312"/>
      <c r="L4" s="313" t="s">
        <v>76</v>
      </c>
      <c r="M4" s="313"/>
      <c r="N4" s="316"/>
      <c r="O4" s="316"/>
      <c r="P4" s="315"/>
      <c r="Q4" s="315"/>
      <c r="R4" s="303"/>
      <c r="S4" s="303"/>
      <c r="T4" s="317"/>
      <c r="U4" s="317"/>
      <c r="V4" s="318"/>
      <c r="W4" s="318"/>
      <c r="X4" s="319"/>
      <c r="Y4" s="319"/>
      <c r="Z4" s="251"/>
      <c r="AA4" s="251"/>
      <c r="AB4" s="320"/>
      <c r="AC4" s="320"/>
      <c r="AD4" s="321"/>
      <c r="AE4" s="321"/>
      <c r="AF4" s="306"/>
      <c r="AG4" s="307"/>
      <c r="AH4" s="310"/>
      <c r="AI4" s="311"/>
      <c r="AJ4" s="251"/>
      <c r="AK4" s="251"/>
      <c r="AL4" s="303"/>
      <c r="AM4" s="303"/>
      <c r="AN4" s="312"/>
      <c r="AO4" s="312"/>
      <c r="AP4" s="310"/>
      <c r="AQ4" s="311"/>
      <c r="AR4" s="306"/>
      <c r="AS4" s="307"/>
      <c r="AT4" s="251"/>
      <c r="AU4" s="251"/>
      <c r="AV4" s="297"/>
      <c r="AW4" s="298"/>
      <c r="AX4" s="301"/>
      <c r="AY4" s="302"/>
      <c r="AZ4" s="251"/>
      <c r="BA4" s="251"/>
      <c r="BB4" s="297"/>
      <c r="BC4" s="298"/>
      <c r="BD4" s="301"/>
      <c r="BE4" s="302"/>
      <c r="BF4" s="251"/>
      <c r="BG4" s="294"/>
      <c r="BH4" s="355"/>
      <c r="BI4" s="216" t="s">
        <v>110</v>
      </c>
    </row>
    <row r="5" spans="1:61" ht="15.75" thickBot="1" x14ac:dyDescent="0.3">
      <c r="A5" s="29"/>
      <c r="B5" s="3" t="s">
        <v>77</v>
      </c>
      <c r="C5" s="3" t="s">
        <v>78</v>
      </c>
      <c r="D5" s="44" t="s">
        <v>77</v>
      </c>
      <c r="E5" s="48" t="s">
        <v>78</v>
      </c>
      <c r="F5" s="5" t="s">
        <v>77</v>
      </c>
      <c r="G5" s="52" t="s">
        <v>79</v>
      </c>
      <c r="H5" s="6" t="s">
        <v>77</v>
      </c>
      <c r="I5" s="6" t="s">
        <v>78</v>
      </c>
      <c r="J5" s="40" t="s">
        <v>77</v>
      </c>
      <c r="K5" s="40" t="s">
        <v>182</v>
      </c>
      <c r="L5" s="3" t="s">
        <v>77</v>
      </c>
      <c r="M5" s="3" t="s">
        <v>78</v>
      </c>
      <c r="N5" s="4" t="s">
        <v>77</v>
      </c>
      <c r="O5" s="48" t="s">
        <v>78</v>
      </c>
      <c r="P5" s="5" t="s">
        <v>77</v>
      </c>
      <c r="Q5" s="5" t="s">
        <v>79</v>
      </c>
      <c r="R5" s="6" t="s">
        <v>77</v>
      </c>
      <c r="S5" s="6" t="s">
        <v>78</v>
      </c>
      <c r="T5" s="7" t="s">
        <v>77</v>
      </c>
      <c r="U5" s="7" t="s">
        <v>182</v>
      </c>
      <c r="V5" s="3" t="s">
        <v>77</v>
      </c>
      <c r="W5" s="3" t="s">
        <v>182</v>
      </c>
      <c r="X5" s="8" t="s">
        <v>77</v>
      </c>
      <c r="Y5" s="8" t="s">
        <v>182</v>
      </c>
      <c r="Z5" s="5" t="s">
        <v>77</v>
      </c>
      <c r="AA5" s="5" t="s">
        <v>203</v>
      </c>
      <c r="AB5" s="9" t="s">
        <v>77</v>
      </c>
      <c r="AC5" s="9" t="s">
        <v>182</v>
      </c>
      <c r="AD5" s="10" t="s">
        <v>77</v>
      </c>
      <c r="AE5" s="10" t="s">
        <v>182</v>
      </c>
      <c r="AF5" s="57" t="s">
        <v>77</v>
      </c>
      <c r="AG5" s="57" t="s">
        <v>182</v>
      </c>
      <c r="AH5" s="58" t="s">
        <v>77</v>
      </c>
      <c r="AI5" s="59" t="s">
        <v>182</v>
      </c>
      <c r="AJ5" s="5" t="s">
        <v>77</v>
      </c>
      <c r="AK5" s="52" t="s">
        <v>203</v>
      </c>
      <c r="AL5" s="6" t="s">
        <v>77</v>
      </c>
      <c r="AM5" s="6" t="s">
        <v>78</v>
      </c>
      <c r="AN5" s="10" t="s">
        <v>77</v>
      </c>
      <c r="AO5" s="64" t="s">
        <v>182</v>
      </c>
      <c r="AP5" s="67" t="s">
        <v>77</v>
      </c>
      <c r="AQ5" s="59" t="s">
        <v>182</v>
      </c>
      <c r="AR5" s="57" t="s">
        <v>77</v>
      </c>
      <c r="AS5" s="57" t="s">
        <v>182</v>
      </c>
      <c r="AT5" s="5" t="s">
        <v>77</v>
      </c>
      <c r="AU5" s="52" t="s">
        <v>203</v>
      </c>
      <c r="AV5" s="67" t="s">
        <v>77</v>
      </c>
      <c r="AW5" s="59" t="s">
        <v>182</v>
      </c>
      <c r="AX5" s="57" t="s">
        <v>77</v>
      </c>
      <c r="AY5" s="57" t="s">
        <v>182</v>
      </c>
      <c r="AZ5" s="5" t="s">
        <v>77</v>
      </c>
      <c r="BA5" s="52" t="s">
        <v>203</v>
      </c>
      <c r="BB5" s="67" t="s">
        <v>77</v>
      </c>
      <c r="BC5" s="59" t="s">
        <v>182</v>
      </c>
      <c r="BD5" s="57" t="s">
        <v>77</v>
      </c>
      <c r="BE5" s="57" t="s">
        <v>182</v>
      </c>
      <c r="BF5" s="5" t="s">
        <v>77</v>
      </c>
      <c r="BG5" s="240" t="s">
        <v>203</v>
      </c>
      <c r="BH5" s="347" t="s">
        <v>77</v>
      </c>
      <c r="BI5" s="216" t="s">
        <v>77</v>
      </c>
    </row>
    <row r="6" spans="1:61" ht="15.75" thickBot="1" x14ac:dyDescent="0.3">
      <c r="A6" s="30" t="s">
        <v>80</v>
      </c>
      <c r="B6" s="3"/>
      <c r="C6" s="3"/>
      <c r="D6" s="44"/>
      <c r="E6" s="48"/>
      <c r="F6" s="5"/>
      <c r="G6" s="52"/>
      <c r="H6" s="6"/>
      <c r="I6" s="6"/>
      <c r="J6" s="40"/>
      <c r="K6" s="40"/>
      <c r="L6" s="3"/>
      <c r="M6" s="3"/>
      <c r="N6" s="4"/>
      <c r="O6" s="48"/>
      <c r="P6" s="5"/>
      <c r="Q6" s="5"/>
      <c r="R6" s="6"/>
      <c r="S6" s="6"/>
      <c r="T6" s="7"/>
      <c r="U6" s="7"/>
      <c r="V6" s="3"/>
      <c r="W6" s="3"/>
      <c r="X6" s="8"/>
      <c r="Y6" s="8"/>
      <c r="Z6" s="5"/>
      <c r="AA6" s="5"/>
      <c r="AB6" s="11"/>
      <c r="AC6" s="11"/>
      <c r="AD6" s="12"/>
      <c r="AE6" s="12"/>
      <c r="AF6" s="57"/>
      <c r="AG6" s="57"/>
      <c r="AH6" s="58"/>
      <c r="AI6" s="59"/>
      <c r="AJ6" s="5"/>
      <c r="AK6" s="52"/>
      <c r="AL6" s="6"/>
      <c r="AM6" s="6"/>
      <c r="AN6" s="12"/>
      <c r="AO6" s="65"/>
      <c r="AP6" s="67"/>
      <c r="AQ6" s="59"/>
      <c r="AR6" s="57"/>
      <c r="AS6" s="57"/>
      <c r="AT6" s="5"/>
      <c r="AU6" s="52"/>
      <c r="AV6" s="67"/>
      <c r="AW6" s="59"/>
      <c r="AX6" s="57"/>
      <c r="AY6" s="57"/>
      <c r="AZ6" s="5"/>
      <c r="BA6" s="52"/>
      <c r="BB6" s="67"/>
      <c r="BC6" s="59"/>
      <c r="BD6" s="57"/>
      <c r="BE6" s="57"/>
      <c r="BF6" s="5"/>
      <c r="BG6" s="240"/>
      <c r="BH6" s="347"/>
      <c r="BI6" s="216"/>
    </row>
    <row r="7" spans="1:61" ht="15.75" thickBot="1" x14ac:dyDescent="0.3">
      <c r="A7" s="29" t="s">
        <v>81</v>
      </c>
      <c r="B7" s="3">
        <v>114.9</v>
      </c>
      <c r="C7" s="3">
        <v>188.6</v>
      </c>
      <c r="D7" s="44">
        <v>114.9</v>
      </c>
      <c r="E7" s="48">
        <v>188.6</v>
      </c>
      <c r="F7" s="5">
        <f t="shared" ref="F7:G21" si="0">B7-D7</f>
        <v>0</v>
      </c>
      <c r="G7" s="52">
        <f t="shared" si="0"/>
        <v>0</v>
      </c>
      <c r="H7" s="6">
        <v>114.2</v>
      </c>
      <c r="I7" s="6">
        <v>176.68</v>
      </c>
      <c r="J7" s="40">
        <f>H7-D7</f>
        <v>-0.70000000000000284</v>
      </c>
      <c r="K7" s="40">
        <f>I7-E7</f>
        <v>-11.919999999999987</v>
      </c>
      <c r="L7" s="3">
        <v>24.94</v>
      </c>
      <c r="M7" s="3">
        <v>40.9</v>
      </c>
      <c r="N7" s="4">
        <v>24.94</v>
      </c>
      <c r="O7" s="48">
        <v>40.9</v>
      </c>
      <c r="P7" s="5">
        <f t="shared" ref="P7:Q21" si="1">L7-N7</f>
        <v>0</v>
      </c>
      <c r="Q7" s="5">
        <f t="shared" si="1"/>
        <v>0</v>
      </c>
      <c r="R7" s="6">
        <v>39.65</v>
      </c>
      <c r="S7" s="6">
        <v>61.34</v>
      </c>
      <c r="T7" s="7">
        <f>R7-N7</f>
        <v>14.709999999999997</v>
      </c>
      <c r="U7" s="7">
        <f t="shared" ref="T7:U9" si="2">S7-O7</f>
        <v>20.440000000000005</v>
      </c>
      <c r="V7" s="3">
        <f>B7+L7</f>
        <v>139.84</v>
      </c>
      <c r="W7" s="3">
        <f>C7+M7</f>
        <v>229.5</v>
      </c>
      <c r="X7" s="8">
        <v>139.84</v>
      </c>
      <c r="Y7" s="8">
        <v>229.5</v>
      </c>
      <c r="Z7" s="5">
        <f t="shared" ref="Z7:AA9" si="3">V7-X7</f>
        <v>0</v>
      </c>
      <c r="AA7" s="5">
        <f t="shared" si="3"/>
        <v>0</v>
      </c>
      <c r="AB7" s="11">
        <v>153.85</v>
      </c>
      <c r="AC7" s="11">
        <v>238.02</v>
      </c>
      <c r="AD7" s="12">
        <f>AB7-X7</f>
        <v>14.009999999999991</v>
      </c>
      <c r="AE7" s="12">
        <f t="shared" ref="AD7:AE9" si="4">AC7-Y7</f>
        <v>8.5200000000000102</v>
      </c>
      <c r="AF7" s="57">
        <v>6.47</v>
      </c>
      <c r="AG7" s="57">
        <v>11.1</v>
      </c>
      <c r="AH7" s="58">
        <v>6.47</v>
      </c>
      <c r="AI7" s="59">
        <v>11.064</v>
      </c>
      <c r="AJ7" s="5">
        <f>AF7-AH7</f>
        <v>0</v>
      </c>
      <c r="AK7" s="52">
        <f>AG7-AI7</f>
        <v>3.5999999999999588E-2</v>
      </c>
      <c r="AL7" s="6">
        <v>6.47</v>
      </c>
      <c r="AM7" s="6">
        <v>10.6</v>
      </c>
      <c r="AN7" s="12">
        <f>AL7-AH7</f>
        <v>0</v>
      </c>
      <c r="AO7" s="65">
        <f>AM7-AI7</f>
        <v>-0.46400000000000041</v>
      </c>
      <c r="AP7" s="67">
        <f>AH7+X7</f>
        <v>146.31</v>
      </c>
      <c r="AQ7" s="67">
        <f t="shared" ref="AQ7:AQ21" si="5">AI7+Y7</f>
        <v>240.56399999999999</v>
      </c>
      <c r="AR7" s="57">
        <f>V7+AF7</f>
        <v>146.31</v>
      </c>
      <c r="AS7" s="57">
        <f>W7+AG7</f>
        <v>240.6</v>
      </c>
      <c r="AT7" s="140">
        <f>AR7-AP7</f>
        <v>0</v>
      </c>
      <c r="AU7" s="140">
        <f>AS7-AQ7</f>
        <v>3.6000000000001364E-2</v>
      </c>
      <c r="AV7" s="67">
        <v>78.83</v>
      </c>
      <c r="AW7" s="67">
        <v>134.80271999999999</v>
      </c>
      <c r="AX7" s="57">
        <v>93.47</v>
      </c>
      <c r="AY7" s="57">
        <v>159.9</v>
      </c>
      <c r="AZ7" s="140">
        <f>AX7-AV7</f>
        <v>14.64</v>
      </c>
      <c r="BA7" s="140">
        <f>AY7-AW7</f>
        <v>25.097280000000012</v>
      </c>
      <c r="BB7" s="67">
        <f t="shared" ref="BB7:BB21" si="6">D7+N7+AH7+AV7</f>
        <v>225.14</v>
      </c>
      <c r="BC7" s="67">
        <f t="shared" ref="BC7:BC21" si="7">E7+O7+AI7+AW7</f>
        <v>375.36671999999999</v>
      </c>
      <c r="BD7" s="57">
        <v>239.78</v>
      </c>
      <c r="BE7" s="57">
        <v>400.5</v>
      </c>
      <c r="BF7" s="140">
        <f>BD7-BB7</f>
        <v>14.640000000000015</v>
      </c>
      <c r="BG7" s="241">
        <f>BE7-BC7</f>
        <v>25.133280000000013</v>
      </c>
      <c r="BH7" s="348">
        <v>253.79</v>
      </c>
      <c r="BI7" s="216">
        <v>181.31</v>
      </c>
    </row>
    <row r="8" spans="1:61" ht="15.75" thickBot="1" x14ac:dyDescent="0.3">
      <c r="A8" s="29" t="s">
        <v>82</v>
      </c>
      <c r="B8" s="3">
        <v>80.53</v>
      </c>
      <c r="C8" s="3">
        <v>132.19999999999999</v>
      </c>
      <c r="D8" s="44">
        <v>60.95</v>
      </c>
      <c r="E8" s="48">
        <v>100</v>
      </c>
      <c r="F8" s="5">
        <f t="shared" si="0"/>
        <v>19.579999999999998</v>
      </c>
      <c r="G8" s="52">
        <f t="shared" si="0"/>
        <v>32.199999999999989</v>
      </c>
      <c r="H8" s="6">
        <v>80.53</v>
      </c>
      <c r="I8" s="6">
        <v>124.59</v>
      </c>
      <c r="J8" s="40">
        <f t="shared" ref="J8:J21" si="8">H8-D8</f>
        <v>19.579999999999998</v>
      </c>
      <c r="K8" s="40">
        <f t="shared" ref="K8:K21" si="9">I8-E8</f>
        <v>24.590000000000003</v>
      </c>
      <c r="L8" s="3">
        <v>17.489999999999998</v>
      </c>
      <c r="M8" s="3">
        <v>28.7</v>
      </c>
      <c r="N8" s="4">
        <v>17.489999999999998</v>
      </c>
      <c r="O8" s="48">
        <v>28.7</v>
      </c>
      <c r="P8" s="5">
        <f t="shared" si="1"/>
        <v>0</v>
      </c>
      <c r="Q8" s="5">
        <f t="shared" si="1"/>
        <v>0</v>
      </c>
      <c r="R8" s="6">
        <v>17.489999999999998</v>
      </c>
      <c r="S8" s="6">
        <v>27.1</v>
      </c>
      <c r="T8" s="7">
        <f t="shared" si="2"/>
        <v>0</v>
      </c>
      <c r="U8" s="7">
        <f t="shared" si="2"/>
        <v>-1.5999999999999979</v>
      </c>
      <c r="V8" s="3">
        <f t="shared" ref="V8:V21" si="10">B8+L8</f>
        <v>98.02</v>
      </c>
      <c r="W8" s="3">
        <f t="shared" ref="W8:W21" si="11">C8+M8</f>
        <v>160.89999999999998</v>
      </c>
      <c r="X8" s="8">
        <v>78.44</v>
      </c>
      <c r="Y8" s="8">
        <v>128.69999999999999</v>
      </c>
      <c r="Z8" s="5">
        <f t="shared" si="3"/>
        <v>19.579999999999998</v>
      </c>
      <c r="AA8" s="5">
        <f t="shared" si="3"/>
        <v>32.199999999999989</v>
      </c>
      <c r="AB8" s="11">
        <v>98.02</v>
      </c>
      <c r="AC8" s="11">
        <v>151.69</v>
      </c>
      <c r="AD8" s="12">
        <f t="shared" si="4"/>
        <v>19.579999999999998</v>
      </c>
      <c r="AE8" s="12">
        <f t="shared" si="4"/>
        <v>22.990000000000009</v>
      </c>
      <c r="AF8" s="57">
        <v>4.54</v>
      </c>
      <c r="AG8" s="57">
        <v>7.8</v>
      </c>
      <c r="AH8" s="58">
        <v>4.54</v>
      </c>
      <c r="AI8" s="59">
        <v>7.7629999999999999</v>
      </c>
      <c r="AJ8" s="5">
        <f t="shared" ref="AJ8:AJ21" si="12">AF8-AH8</f>
        <v>0</v>
      </c>
      <c r="AK8" s="52">
        <f t="shared" ref="AK8:AK21" si="13">AG8-AI8</f>
        <v>3.6999999999999922E-2</v>
      </c>
      <c r="AL8" s="6">
        <v>4.54</v>
      </c>
      <c r="AM8" s="6">
        <v>7.5</v>
      </c>
      <c r="AN8" s="12">
        <f t="shared" ref="AN8:AN21" si="14">AL8-AH8</f>
        <v>0</v>
      </c>
      <c r="AO8" s="65">
        <f t="shared" ref="AO8:AO21" si="15">AM8-AI8</f>
        <v>-0.2629999999999999</v>
      </c>
      <c r="AP8" s="67">
        <f t="shared" ref="AP8:AP21" si="16">AH8+X8</f>
        <v>82.98</v>
      </c>
      <c r="AQ8" s="67">
        <f t="shared" si="5"/>
        <v>136.46299999999999</v>
      </c>
      <c r="AR8" s="57">
        <f t="shared" ref="AR8:AR21" si="17">V8+AF8</f>
        <v>102.56</v>
      </c>
      <c r="AS8" s="57">
        <f t="shared" ref="AS8:AS21" si="18">W8+AG8</f>
        <v>168.7</v>
      </c>
      <c r="AT8" s="140">
        <f t="shared" ref="AT8:AT21" si="19">AR8-AP8</f>
        <v>19.579999999999998</v>
      </c>
      <c r="AU8" s="140">
        <f t="shared" ref="AU8:AU21" si="20">AS8-AQ8</f>
        <v>32.236999999999995</v>
      </c>
      <c r="AV8" s="67">
        <v>65.510000000000005</v>
      </c>
      <c r="AW8" s="67">
        <v>112.02209999999999</v>
      </c>
      <c r="AX8" s="57">
        <v>65.510000000000005</v>
      </c>
      <c r="AY8" s="57">
        <v>112.1</v>
      </c>
      <c r="AZ8" s="140">
        <f t="shared" ref="AZ8:AZ21" si="21">AX8-AV8</f>
        <v>0</v>
      </c>
      <c r="BA8" s="140">
        <f t="shared" ref="BA8:BA21" si="22">AY8-AW8</f>
        <v>7.7899999999999636E-2</v>
      </c>
      <c r="BB8" s="67">
        <f t="shared" si="6"/>
        <v>148.49</v>
      </c>
      <c r="BC8" s="67">
        <f t="shared" si="7"/>
        <v>248.48509999999999</v>
      </c>
      <c r="BD8" s="57">
        <v>168.07</v>
      </c>
      <c r="BE8" s="57">
        <v>280.8</v>
      </c>
      <c r="BF8" s="140">
        <f t="shared" ref="BF8:BF21" si="23">BD8-BB8</f>
        <v>19.579999999999984</v>
      </c>
      <c r="BG8" s="241">
        <f t="shared" ref="BG8:BG21" si="24">BE8-BC8</f>
        <v>32.314900000000023</v>
      </c>
      <c r="BH8" s="348">
        <v>168.07</v>
      </c>
      <c r="BI8" s="216">
        <v>108.11</v>
      </c>
    </row>
    <row r="9" spans="1:61" ht="15.75" thickBot="1" x14ac:dyDescent="0.3">
      <c r="A9" s="29" t="s">
        <v>83</v>
      </c>
      <c r="B9" s="3">
        <v>230.26</v>
      </c>
      <c r="C9" s="3">
        <v>377.9</v>
      </c>
      <c r="D9" s="44">
        <v>179.07</v>
      </c>
      <c r="E9" s="48">
        <v>293.89999999999998</v>
      </c>
      <c r="F9" s="5">
        <f t="shared" si="0"/>
        <v>51.19</v>
      </c>
      <c r="G9" s="52">
        <f t="shared" si="0"/>
        <v>84</v>
      </c>
      <c r="H9" s="6">
        <v>179.32</v>
      </c>
      <c r="I9" s="6">
        <v>277.44</v>
      </c>
      <c r="J9" s="40">
        <f t="shared" si="8"/>
        <v>0.25</v>
      </c>
      <c r="K9" s="40">
        <f t="shared" si="9"/>
        <v>-16.45999999999998</v>
      </c>
      <c r="L9" s="3">
        <v>49.86</v>
      </c>
      <c r="M9" s="3">
        <v>81.8</v>
      </c>
      <c r="N9" s="4">
        <v>52.287999999999997</v>
      </c>
      <c r="O9" s="48">
        <v>85.8</v>
      </c>
      <c r="P9" s="5">
        <f t="shared" si="1"/>
        <v>-2.4279999999999973</v>
      </c>
      <c r="Q9" s="5">
        <f t="shared" si="1"/>
        <v>-4</v>
      </c>
      <c r="R9" s="6">
        <v>27.62</v>
      </c>
      <c r="S9" s="6">
        <v>84.07</v>
      </c>
      <c r="T9" s="7">
        <f t="shared" si="2"/>
        <v>-24.667999999999996</v>
      </c>
      <c r="U9" s="7">
        <f t="shared" si="2"/>
        <v>-1.730000000000004</v>
      </c>
      <c r="V9" s="3">
        <f t="shared" si="10"/>
        <v>280.12</v>
      </c>
      <c r="W9" s="3">
        <f t="shared" si="11"/>
        <v>459.7</v>
      </c>
      <c r="X9" s="8">
        <v>231.35</v>
      </c>
      <c r="Y9" s="8">
        <v>379.7</v>
      </c>
      <c r="Z9" s="5">
        <f t="shared" si="3"/>
        <v>48.77000000000001</v>
      </c>
      <c r="AA9" s="5">
        <f t="shared" si="3"/>
        <v>80</v>
      </c>
      <c r="AB9" s="11">
        <v>206.94</v>
      </c>
      <c r="AC9" s="11">
        <v>361.51</v>
      </c>
      <c r="AD9" s="12">
        <f t="shared" si="4"/>
        <v>-24.409999999999997</v>
      </c>
      <c r="AE9" s="12">
        <f t="shared" si="4"/>
        <v>-18.189999999999998</v>
      </c>
      <c r="AF9" s="57">
        <v>12.92</v>
      </c>
      <c r="AG9" s="57">
        <v>22.1</v>
      </c>
      <c r="AH9" s="58">
        <v>14.18</v>
      </c>
      <c r="AI9" s="59">
        <v>24.248000000000001</v>
      </c>
      <c r="AJ9" s="5">
        <f t="shared" si="12"/>
        <v>-1.2599999999999998</v>
      </c>
      <c r="AK9" s="52">
        <f t="shared" si="13"/>
        <v>-2.1479999999999997</v>
      </c>
      <c r="AL9" s="6">
        <v>14.18</v>
      </c>
      <c r="AM9" s="6">
        <v>23.3</v>
      </c>
      <c r="AN9" s="12">
        <f t="shared" si="14"/>
        <v>0</v>
      </c>
      <c r="AO9" s="65">
        <f t="shared" si="15"/>
        <v>-0.9480000000000004</v>
      </c>
      <c r="AP9" s="67">
        <f t="shared" si="16"/>
        <v>245.53</v>
      </c>
      <c r="AQ9" s="67">
        <f t="shared" si="5"/>
        <v>403.94799999999998</v>
      </c>
      <c r="AR9" s="57">
        <f t="shared" si="17"/>
        <v>293.04000000000002</v>
      </c>
      <c r="AS9" s="57">
        <f t="shared" si="18"/>
        <v>481.8</v>
      </c>
      <c r="AT9" s="140">
        <f t="shared" si="19"/>
        <v>47.510000000000019</v>
      </c>
      <c r="AU9" s="140">
        <f t="shared" si="20"/>
        <v>77.852000000000032</v>
      </c>
      <c r="AV9" s="67">
        <v>132.32</v>
      </c>
      <c r="AW9" s="67">
        <v>226.2672</v>
      </c>
      <c r="AX9" s="57">
        <v>187.07</v>
      </c>
      <c r="AY9" s="57">
        <v>320</v>
      </c>
      <c r="AZ9" s="140">
        <f t="shared" si="21"/>
        <v>54.75</v>
      </c>
      <c r="BA9" s="140">
        <f t="shared" si="22"/>
        <v>93.732799999999997</v>
      </c>
      <c r="BB9" s="67">
        <f t="shared" si="6"/>
        <v>377.858</v>
      </c>
      <c r="BC9" s="67">
        <f t="shared" si="7"/>
        <v>630.21519999999998</v>
      </c>
      <c r="BD9" s="57">
        <v>480.11</v>
      </c>
      <c r="BE9" s="57">
        <v>801.8</v>
      </c>
      <c r="BF9" s="140">
        <f t="shared" si="23"/>
        <v>102.25200000000001</v>
      </c>
      <c r="BG9" s="241">
        <f t="shared" si="24"/>
        <v>171.58479999999997</v>
      </c>
      <c r="BH9" s="348">
        <v>390.92</v>
      </c>
      <c r="BI9" s="216">
        <v>142.65</v>
      </c>
    </row>
    <row r="10" spans="1:61" ht="15.75" thickBot="1" x14ac:dyDescent="0.3">
      <c r="A10" s="29" t="s">
        <v>25</v>
      </c>
      <c r="B10" s="3"/>
      <c r="C10" s="3"/>
      <c r="D10" s="44"/>
      <c r="E10" s="48"/>
      <c r="F10" s="5">
        <f t="shared" si="0"/>
        <v>0</v>
      </c>
      <c r="G10" s="52">
        <f t="shared" si="0"/>
        <v>0</v>
      </c>
      <c r="H10" s="6"/>
      <c r="I10" s="6"/>
      <c r="J10" s="40">
        <f t="shared" si="8"/>
        <v>0</v>
      </c>
      <c r="K10" s="40">
        <f t="shared" si="9"/>
        <v>0</v>
      </c>
      <c r="L10" s="3"/>
      <c r="M10" s="3"/>
      <c r="N10" s="4"/>
      <c r="O10" s="48"/>
      <c r="P10" s="5">
        <f t="shared" si="1"/>
        <v>0</v>
      </c>
      <c r="Q10" s="5">
        <f t="shared" si="1"/>
        <v>0</v>
      </c>
      <c r="R10" s="6"/>
      <c r="S10" s="6"/>
      <c r="T10" s="7"/>
      <c r="U10" s="7"/>
      <c r="V10" s="3">
        <f t="shared" si="10"/>
        <v>0</v>
      </c>
      <c r="W10" s="3">
        <f t="shared" si="11"/>
        <v>0</v>
      </c>
      <c r="X10" s="8"/>
      <c r="Y10" s="8"/>
      <c r="Z10" s="5"/>
      <c r="AA10" s="5"/>
      <c r="AB10" s="11"/>
      <c r="AC10" s="11"/>
      <c r="AD10" s="12"/>
      <c r="AE10" s="12"/>
      <c r="AF10" s="57"/>
      <c r="AG10" s="57"/>
      <c r="AH10" s="58"/>
      <c r="AI10" s="59"/>
      <c r="AJ10" s="5">
        <f t="shared" si="12"/>
        <v>0</v>
      </c>
      <c r="AK10" s="52">
        <f t="shared" si="13"/>
        <v>0</v>
      </c>
      <c r="AL10" s="6"/>
      <c r="AM10" s="6"/>
      <c r="AN10" s="12">
        <f t="shared" si="14"/>
        <v>0</v>
      </c>
      <c r="AO10" s="65">
        <f t="shared" si="15"/>
        <v>0</v>
      </c>
      <c r="AP10" s="67">
        <f t="shared" si="16"/>
        <v>0</v>
      </c>
      <c r="AQ10" s="67">
        <f t="shared" si="5"/>
        <v>0</v>
      </c>
      <c r="AR10" s="57">
        <f t="shared" si="17"/>
        <v>0</v>
      </c>
      <c r="AS10" s="57">
        <f t="shared" si="18"/>
        <v>0</v>
      </c>
      <c r="AT10" s="140">
        <f t="shared" si="19"/>
        <v>0</v>
      </c>
      <c r="AU10" s="140">
        <f t="shared" si="20"/>
        <v>0</v>
      </c>
      <c r="AV10" s="67">
        <v>0</v>
      </c>
      <c r="AW10" s="67">
        <v>0</v>
      </c>
      <c r="AX10" s="57">
        <v>0</v>
      </c>
      <c r="AY10" s="57">
        <v>0</v>
      </c>
      <c r="AZ10" s="140">
        <f t="shared" si="21"/>
        <v>0</v>
      </c>
      <c r="BA10" s="140">
        <f t="shared" si="22"/>
        <v>0</v>
      </c>
      <c r="BB10" s="67">
        <f t="shared" si="6"/>
        <v>0</v>
      </c>
      <c r="BC10" s="67">
        <f t="shared" si="7"/>
        <v>0</v>
      </c>
      <c r="BD10" s="57">
        <v>0</v>
      </c>
      <c r="BE10" s="57">
        <v>0</v>
      </c>
      <c r="BF10" s="140">
        <f t="shared" si="23"/>
        <v>0</v>
      </c>
      <c r="BG10" s="241">
        <f t="shared" si="24"/>
        <v>0</v>
      </c>
      <c r="BH10" s="348"/>
      <c r="BI10" s="216">
        <v>24.81</v>
      </c>
    </row>
    <row r="11" spans="1:61" ht="15.75" thickBot="1" x14ac:dyDescent="0.3">
      <c r="A11" s="29" t="s">
        <v>21</v>
      </c>
      <c r="B11" s="3">
        <v>64.69</v>
      </c>
      <c r="C11" s="3">
        <v>106.2</v>
      </c>
      <c r="D11" s="44">
        <v>55.94</v>
      </c>
      <c r="E11" s="48">
        <v>98.4</v>
      </c>
      <c r="F11" s="5">
        <f t="shared" si="0"/>
        <v>8.75</v>
      </c>
      <c r="G11" s="52">
        <f t="shared" si="0"/>
        <v>7.7999999999999972</v>
      </c>
      <c r="H11" s="6">
        <v>64.69</v>
      </c>
      <c r="I11" s="6">
        <v>100.08</v>
      </c>
      <c r="J11" s="40">
        <f t="shared" si="8"/>
        <v>8.75</v>
      </c>
      <c r="K11" s="40">
        <f t="shared" si="9"/>
        <v>1.6799999999999926</v>
      </c>
      <c r="L11" s="3">
        <v>14.05</v>
      </c>
      <c r="M11" s="3">
        <v>23.1</v>
      </c>
      <c r="N11" s="4">
        <v>14.641</v>
      </c>
      <c r="O11" s="48">
        <v>24</v>
      </c>
      <c r="P11" s="5">
        <f t="shared" si="1"/>
        <v>-0.5909999999999993</v>
      </c>
      <c r="Q11" s="5">
        <f t="shared" si="1"/>
        <v>-0.89999999999999858</v>
      </c>
      <c r="R11" s="6">
        <v>14.05</v>
      </c>
      <c r="S11" s="6">
        <v>21.7</v>
      </c>
      <c r="T11" s="7">
        <f t="shared" ref="T11:U21" si="25">R11-N11</f>
        <v>-0.5909999999999993</v>
      </c>
      <c r="U11" s="7">
        <f t="shared" si="25"/>
        <v>-2.3000000000000007</v>
      </c>
      <c r="V11" s="3">
        <f t="shared" si="10"/>
        <v>78.739999999999995</v>
      </c>
      <c r="W11" s="3">
        <f t="shared" si="11"/>
        <v>129.30000000000001</v>
      </c>
      <c r="X11" s="8">
        <v>70.58</v>
      </c>
      <c r="Y11" s="8">
        <v>122.4</v>
      </c>
      <c r="Z11" s="5">
        <f t="shared" ref="Z11:AA21" si="26">V11-X11</f>
        <v>8.1599999999999966</v>
      </c>
      <c r="AA11" s="5">
        <f t="shared" si="26"/>
        <v>6.9000000000000057</v>
      </c>
      <c r="AB11" s="11">
        <v>78.739999999999995</v>
      </c>
      <c r="AC11" s="11">
        <v>121.78</v>
      </c>
      <c r="AD11" s="12">
        <f t="shared" ref="AD11:AE21" si="27">AB11-X11</f>
        <v>8.1599999999999966</v>
      </c>
      <c r="AE11" s="12">
        <f t="shared" si="27"/>
        <v>-0.62000000000000455</v>
      </c>
      <c r="AF11" s="57">
        <v>3.65</v>
      </c>
      <c r="AG11" s="57">
        <v>6.3</v>
      </c>
      <c r="AH11" s="58">
        <v>3.65</v>
      </c>
      <c r="AI11" s="59">
        <v>6.242</v>
      </c>
      <c r="AJ11" s="5">
        <f t="shared" si="12"/>
        <v>0</v>
      </c>
      <c r="AK11" s="52">
        <f t="shared" si="13"/>
        <v>5.7999999999999829E-2</v>
      </c>
      <c r="AL11" s="6">
        <v>3.65</v>
      </c>
      <c r="AM11" s="6">
        <v>6</v>
      </c>
      <c r="AN11" s="12">
        <f t="shared" si="14"/>
        <v>0</v>
      </c>
      <c r="AO11" s="65">
        <f t="shared" si="15"/>
        <v>-0.24199999999999999</v>
      </c>
      <c r="AP11" s="67">
        <f t="shared" si="16"/>
        <v>74.23</v>
      </c>
      <c r="AQ11" s="67">
        <f t="shared" si="5"/>
        <v>128.642</v>
      </c>
      <c r="AR11" s="57">
        <f t="shared" si="17"/>
        <v>82.39</v>
      </c>
      <c r="AS11" s="57">
        <f t="shared" si="18"/>
        <v>135.60000000000002</v>
      </c>
      <c r="AT11" s="140">
        <f t="shared" si="19"/>
        <v>8.1599999999999966</v>
      </c>
      <c r="AU11" s="140">
        <f t="shared" si="20"/>
        <v>6.9580000000000268</v>
      </c>
      <c r="AV11" s="67">
        <v>47.6</v>
      </c>
      <c r="AW11" s="67">
        <v>81.387450000000001</v>
      </c>
      <c r="AX11" s="57">
        <v>52.63</v>
      </c>
      <c r="AY11" s="57">
        <v>90</v>
      </c>
      <c r="AZ11" s="140">
        <f t="shared" si="21"/>
        <v>5.0300000000000011</v>
      </c>
      <c r="BA11" s="140">
        <f t="shared" si="22"/>
        <v>8.6125499999999988</v>
      </c>
      <c r="BB11" s="67">
        <f t="shared" si="6"/>
        <v>121.83100000000002</v>
      </c>
      <c r="BC11" s="67">
        <f t="shared" si="7"/>
        <v>210.02945</v>
      </c>
      <c r="BD11" s="57">
        <v>135.02000000000001</v>
      </c>
      <c r="BE11" s="57">
        <v>225.6</v>
      </c>
      <c r="BF11" s="140">
        <f t="shared" si="23"/>
        <v>13.188999999999993</v>
      </c>
      <c r="BG11" s="241">
        <f t="shared" si="24"/>
        <v>15.570549999999997</v>
      </c>
      <c r="BH11" s="348">
        <v>135.02000000000001</v>
      </c>
      <c r="BI11" s="216">
        <v>170.91</v>
      </c>
    </row>
    <row r="12" spans="1:61" ht="15.75" thickBot="1" x14ac:dyDescent="0.3">
      <c r="A12" s="29" t="s">
        <v>84</v>
      </c>
      <c r="B12" s="3">
        <v>225.69</v>
      </c>
      <c r="C12" s="3">
        <v>370.4</v>
      </c>
      <c r="D12" s="44">
        <v>159.88999999999999</v>
      </c>
      <c r="E12" s="48">
        <v>262.39999999999998</v>
      </c>
      <c r="F12" s="5">
        <f t="shared" si="0"/>
        <v>65.800000000000011</v>
      </c>
      <c r="G12" s="52">
        <f t="shared" si="0"/>
        <v>108</v>
      </c>
      <c r="H12" s="6">
        <v>245.13</v>
      </c>
      <c r="I12" s="6">
        <v>379.25</v>
      </c>
      <c r="J12" s="40">
        <f t="shared" si="8"/>
        <v>85.240000000000009</v>
      </c>
      <c r="K12" s="40">
        <f t="shared" si="9"/>
        <v>116.85000000000002</v>
      </c>
      <c r="L12" s="3">
        <v>48.87</v>
      </c>
      <c r="M12" s="3">
        <v>80.2</v>
      </c>
      <c r="N12" s="4">
        <v>53.22</v>
      </c>
      <c r="O12" s="48">
        <v>87.3</v>
      </c>
      <c r="P12" s="5">
        <f t="shared" si="1"/>
        <v>-4.3500000000000014</v>
      </c>
      <c r="Q12" s="5">
        <f t="shared" si="1"/>
        <v>-7.0999999999999943</v>
      </c>
      <c r="R12" s="6">
        <v>53.22</v>
      </c>
      <c r="S12" s="6">
        <v>82.3</v>
      </c>
      <c r="T12" s="7">
        <f t="shared" si="25"/>
        <v>0</v>
      </c>
      <c r="U12" s="7">
        <f t="shared" si="25"/>
        <v>-5</v>
      </c>
      <c r="V12" s="3">
        <f t="shared" si="10"/>
        <v>274.56</v>
      </c>
      <c r="W12" s="3">
        <f t="shared" si="11"/>
        <v>450.59999999999997</v>
      </c>
      <c r="X12" s="8">
        <v>213.11</v>
      </c>
      <c r="Y12" s="8">
        <v>349.7</v>
      </c>
      <c r="Z12" s="5">
        <f t="shared" si="26"/>
        <v>61.449999999999989</v>
      </c>
      <c r="AA12" s="5">
        <f t="shared" si="26"/>
        <v>100.89999999999998</v>
      </c>
      <c r="AB12" s="11">
        <v>298.35000000000002</v>
      </c>
      <c r="AC12" s="11">
        <v>461.55</v>
      </c>
      <c r="AD12" s="12">
        <f t="shared" si="27"/>
        <v>85.240000000000009</v>
      </c>
      <c r="AE12" s="12">
        <f t="shared" si="27"/>
        <v>111.85000000000002</v>
      </c>
      <c r="AF12" s="57">
        <v>12.66</v>
      </c>
      <c r="AG12" s="57">
        <v>21.7</v>
      </c>
      <c r="AH12" s="58">
        <v>67.23</v>
      </c>
      <c r="AI12" s="59">
        <v>111.285</v>
      </c>
      <c r="AJ12" s="5">
        <f t="shared" si="12"/>
        <v>-54.570000000000007</v>
      </c>
      <c r="AK12" s="52">
        <f t="shared" si="13"/>
        <v>-89.584999999999994</v>
      </c>
      <c r="AL12" s="6">
        <v>13.81</v>
      </c>
      <c r="AM12" s="6">
        <v>22.66</v>
      </c>
      <c r="AN12" s="12">
        <f t="shared" si="14"/>
        <v>-53.42</v>
      </c>
      <c r="AO12" s="65">
        <f t="shared" si="15"/>
        <v>-88.625</v>
      </c>
      <c r="AP12" s="67">
        <f t="shared" si="16"/>
        <v>280.34000000000003</v>
      </c>
      <c r="AQ12" s="67">
        <f t="shared" si="5"/>
        <v>460.98500000000001</v>
      </c>
      <c r="AR12" s="57">
        <f t="shared" si="17"/>
        <v>287.22000000000003</v>
      </c>
      <c r="AS12" s="57">
        <f t="shared" si="18"/>
        <v>472.29999999999995</v>
      </c>
      <c r="AT12" s="140">
        <f t="shared" si="19"/>
        <v>6.8799999999999955</v>
      </c>
      <c r="AU12" s="140">
        <f t="shared" si="20"/>
        <v>11.314999999999941</v>
      </c>
      <c r="AV12" s="67">
        <v>147.97</v>
      </c>
      <c r="AW12" s="67">
        <v>253.02869999999999</v>
      </c>
      <c r="AX12" s="57">
        <v>183.36</v>
      </c>
      <c r="AY12" s="57">
        <v>313.60000000000002</v>
      </c>
      <c r="AZ12" s="140">
        <f t="shared" si="21"/>
        <v>35.390000000000015</v>
      </c>
      <c r="BA12" s="140">
        <f t="shared" si="22"/>
        <v>60.571300000000036</v>
      </c>
      <c r="BB12" s="67">
        <f t="shared" si="6"/>
        <v>428.30999999999995</v>
      </c>
      <c r="BC12" s="67">
        <f t="shared" si="7"/>
        <v>714.01369999999997</v>
      </c>
      <c r="BD12" s="57">
        <v>470.58</v>
      </c>
      <c r="BE12" s="57">
        <v>785.9</v>
      </c>
      <c r="BF12" s="140">
        <f t="shared" si="23"/>
        <v>42.270000000000039</v>
      </c>
      <c r="BG12" s="241">
        <f t="shared" si="24"/>
        <v>71.886300000000006</v>
      </c>
      <c r="BH12" s="348">
        <v>458.77</v>
      </c>
      <c r="BI12" s="216">
        <v>458.45</v>
      </c>
    </row>
    <row r="13" spans="1:61" ht="15.75" thickBot="1" x14ac:dyDescent="0.3">
      <c r="A13" s="29" t="s">
        <v>85</v>
      </c>
      <c r="B13" s="3">
        <v>263.8</v>
      </c>
      <c r="C13" s="3">
        <v>433</v>
      </c>
      <c r="D13" s="44">
        <v>209.71600000000001</v>
      </c>
      <c r="E13" s="48">
        <v>344.2</v>
      </c>
      <c r="F13" s="5">
        <f t="shared" si="0"/>
        <v>54.084000000000003</v>
      </c>
      <c r="G13" s="52">
        <f t="shared" si="0"/>
        <v>88.800000000000011</v>
      </c>
      <c r="H13" s="6">
        <v>219.32</v>
      </c>
      <c r="I13" s="6">
        <v>339.32</v>
      </c>
      <c r="J13" s="40">
        <f t="shared" si="8"/>
        <v>9.603999999999985</v>
      </c>
      <c r="K13" s="40">
        <f t="shared" si="9"/>
        <v>-4.8799999999999955</v>
      </c>
      <c r="L13" s="3">
        <v>57.13</v>
      </c>
      <c r="M13" s="3">
        <v>93.8</v>
      </c>
      <c r="N13" s="4">
        <v>65.25</v>
      </c>
      <c r="O13" s="48">
        <v>107.1</v>
      </c>
      <c r="P13" s="5">
        <f t="shared" si="1"/>
        <v>-8.1199999999999974</v>
      </c>
      <c r="Q13" s="5">
        <f t="shared" si="1"/>
        <v>-13.299999999999997</v>
      </c>
      <c r="R13" s="6">
        <v>63.12</v>
      </c>
      <c r="S13" s="6">
        <v>97.66</v>
      </c>
      <c r="T13" s="7">
        <f t="shared" si="25"/>
        <v>-2.1300000000000026</v>
      </c>
      <c r="U13" s="7">
        <f t="shared" si="25"/>
        <v>-9.4399999999999977</v>
      </c>
      <c r="V13" s="3">
        <f t="shared" si="10"/>
        <v>320.93</v>
      </c>
      <c r="W13" s="3">
        <f t="shared" si="11"/>
        <v>526.79999999999995</v>
      </c>
      <c r="X13" s="8">
        <v>274.95999999999998</v>
      </c>
      <c r="Y13" s="8">
        <v>451.3</v>
      </c>
      <c r="Z13" s="5">
        <f t="shared" si="26"/>
        <v>45.970000000000027</v>
      </c>
      <c r="AA13" s="5">
        <f t="shared" si="26"/>
        <v>75.499999999999943</v>
      </c>
      <c r="AB13" s="11">
        <v>282.44</v>
      </c>
      <c r="AC13" s="11">
        <v>436.98</v>
      </c>
      <c r="AD13" s="12">
        <f t="shared" si="27"/>
        <v>7.4800000000000182</v>
      </c>
      <c r="AE13" s="12">
        <f t="shared" si="27"/>
        <v>-14.319999999999993</v>
      </c>
      <c r="AF13" s="57">
        <v>14.8</v>
      </c>
      <c r="AG13" s="57">
        <v>25.3</v>
      </c>
      <c r="AH13" s="58">
        <v>138.40600000000001</v>
      </c>
      <c r="AI13" s="59">
        <v>222.017</v>
      </c>
      <c r="AJ13" s="5">
        <f t="shared" si="12"/>
        <v>-123.60600000000001</v>
      </c>
      <c r="AK13" s="52">
        <f t="shared" si="13"/>
        <v>-196.71699999999998</v>
      </c>
      <c r="AL13" s="6">
        <v>6.75</v>
      </c>
      <c r="AM13" s="6">
        <v>11.08</v>
      </c>
      <c r="AN13" s="12">
        <f t="shared" si="14"/>
        <v>-131.65600000000001</v>
      </c>
      <c r="AO13" s="65">
        <f t="shared" si="15"/>
        <v>-210.93699999999998</v>
      </c>
      <c r="AP13" s="67">
        <f t="shared" si="16"/>
        <v>413.36599999999999</v>
      </c>
      <c r="AQ13" s="67">
        <f t="shared" si="5"/>
        <v>673.31700000000001</v>
      </c>
      <c r="AR13" s="57">
        <f t="shared" si="17"/>
        <v>335.73</v>
      </c>
      <c r="AS13" s="57">
        <f t="shared" si="18"/>
        <v>552.09999999999991</v>
      </c>
      <c r="AT13" s="140">
        <f t="shared" si="19"/>
        <v>-77.635999999999967</v>
      </c>
      <c r="AU13" s="140">
        <f t="shared" si="20"/>
        <v>-121.2170000000001</v>
      </c>
      <c r="AV13" s="67">
        <v>168.54</v>
      </c>
      <c r="AW13" s="67">
        <v>288.20339999999999</v>
      </c>
      <c r="AX13" s="57">
        <v>214.35</v>
      </c>
      <c r="AY13" s="57">
        <v>266.60000000000002</v>
      </c>
      <c r="AZ13" s="140">
        <f t="shared" si="21"/>
        <v>45.81</v>
      </c>
      <c r="BA13" s="140">
        <f t="shared" si="22"/>
        <v>-21.603399999999965</v>
      </c>
      <c r="BB13" s="67">
        <f t="shared" si="6"/>
        <v>581.91200000000003</v>
      </c>
      <c r="BC13" s="67">
        <f t="shared" si="7"/>
        <v>961.5204</v>
      </c>
      <c r="BD13" s="57">
        <v>550.12</v>
      </c>
      <c r="BE13" s="57">
        <v>918.7</v>
      </c>
      <c r="BF13" s="140">
        <f t="shared" si="23"/>
        <v>-31.79200000000003</v>
      </c>
      <c r="BG13" s="241">
        <f t="shared" si="24"/>
        <v>-42.82039999999995</v>
      </c>
      <c r="BH13" s="348">
        <v>475.87</v>
      </c>
      <c r="BI13" s="216">
        <v>487.46</v>
      </c>
    </row>
    <row r="14" spans="1:61" ht="15.75" thickBot="1" x14ac:dyDescent="0.3">
      <c r="A14" s="29" t="s">
        <v>11</v>
      </c>
      <c r="B14" s="3">
        <v>335.7</v>
      </c>
      <c r="C14" s="3">
        <v>550.9</v>
      </c>
      <c r="D14" s="44">
        <v>283.58</v>
      </c>
      <c r="E14" s="48">
        <v>465.4</v>
      </c>
      <c r="F14" s="5">
        <f t="shared" si="0"/>
        <v>52.120000000000005</v>
      </c>
      <c r="G14" s="52">
        <f t="shared" si="0"/>
        <v>85.5</v>
      </c>
      <c r="H14" s="6">
        <v>267.66000000000003</v>
      </c>
      <c r="I14" s="6">
        <v>414.11</v>
      </c>
      <c r="J14" s="40">
        <f t="shared" si="8"/>
        <v>-15.919999999999959</v>
      </c>
      <c r="K14" s="40">
        <f t="shared" si="9"/>
        <v>-51.289999999999964</v>
      </c>
      <c r="L14" s="3">
        <v>72.7</v>
      </c>
      <c r="M14" s="3">
        <v>119.3</v>
      </c>
      <c r="N14" s="4">
        <v>73.5</v>
      </c>
      <c r="O14" s="48">
        <v>120.6</v>
      </c>
      <c r="P14" s="5">
        <f t="shared" si="1"/>
        <v>-0.79999999999999716</v>
      </c>
      <c r="Q14" s="5">
        <f t="shared" si="1"/>
        <v>-1.2999999999999972</v>
      </c>
      <c r="R14" s="6">
        <v>70.56</v>
      </c>
      <c r="S14" s="6">
        <v>109.16</v>
      </c>
      <c r="T14" s="7">
        <f t="shared" si="25"/>
        <v>-2.9399999999999977</v>
      </c>
      <c r="U14" s="7">
        <f t="shared" si="25"/>
        <v>-11.439999999999998</v>
      </c>
      <c r="V14" s="3">
        <f t="shared" si="10"/>
        <v>408.4</v>
      </c>
      <c r="W14" s="3">
        <f t="shared" si="11"/>
        <v>670.19999999999993</v>
      </c>
      <c r="X14" s="8">
        <v>357.08</v>
      </c>
      <c r="Y14" s="8">
        <v>586</v>
      </c>
      <c r="Z14" s="5">
        <f t="shared" si="26"/>
        <v>51.319999999999993</v>
      </c>
      <c r="AA14" s="5">
        <f t="shared" si="26"/>
        <v>84.199999999999932</v>
      </c>
      <c r="AB14" s="11">
        <v>338.22</v>
      </c>
      <c r="AC14" s="11">
        <v>523.27</v>
      </c>
      <c r="AD14" s="12">
        <f t="shared" si="27"/>
        <v>-18.859999999999957</v>
      </c>
      <c r="AE14" s="12">
        <f t="shared" si="27"/>
        <v>-62.730000000000018</v>
      </c>
      <c r="AF14" s="57">
        <v>18.829999999999998</v>
      </c>
      <c r="AG14" s="57">
        <v>32.200000000000003</v>
      </c>
      <c r="AH14" s="58">
        <v>31.52</v>
      </c>
      <c r="AI14" s="59">
        <v>53.899000000000001</v>
      </c>
      <c r="AJ14" s="5">
        <f t="shared" si="12"/>
        <v>-12.690000000000001</v>
      </c>
      <c r="AK14" s="52">
        <f t="shared" si="13"/>
        <v>-21.698999999999998</v>
      </c>
      <c r="AL14" s="6">
        <v>8.3800000000000008</v>
      </c>
      <c r="AM14" s="6">
        <v>13.75</v>
      </c>
      <c r="AN14" s="12">
        <f t="shared" si="14"/>
        <v>-23.14</v>
      </c>
      <c r="AO14" s="65">
        <f t="shared" si="15"/>
        <v>-40.149000000000001</v>
      </c>
      <c r="AP14" s="67">
        <f t="shared" si="16"/>
        <v>388.59999999999997</v>
      </c>
      <c r="AQ14" s="67">
        <f t="shared" si="5"/>
        <v>639.899</v>
      </c>
      <c r="AR14" s="57">
        <f t="shared" si="17"/>
        <v>427.22999999999996</v>
      </c>
      <c r="AS14" s="57">
        <f t="shared" si="18"/>
        <v>702.4</v>
      </c>
      <c r="AT14" s="140">
        <f t="shared" si="19"/>
        <v>38.629999999999995</v>
      </c>
      <c r="AU14" s="140">
        <f t="shared" si="20"/>
        <v>62.500999999999976</v>
      </c>
      <c r="AV14" s="67">
        <v>222.44</v>
      </c>
      <c r="AW14" s="67">
        <v>380.36727000000002</v>
      </c>
      <c r="AX14" s="57">
        <v>272.77</v>
      </c>
      <c r="AY14" s="57">
        <v>466.5</v>
      </c>
      <c r="AZ14" s="140">
        <f t="shared" si="21"/>
        <v>50.329999999999984</v>
      </c>
      <c r="BA14" s="140">
        <f t="shared" si="22"/>
        <v>86.132729999999981</v>
      </c>
      <c r="BB14" s="67">
        <f t="shared" si="6"/>
        <v>611.04</v>
      </c>
      <c r="BC14" s="67">
        <f t="shared" si="7"/>
        <v>1020.2662700000001</v>
      </c>
      <c r="BD14" s="57">
        <v>700</v>
      </c>
      <c r="BE14" s="57">
        <v>1168.9000000000001</v>
      </c>
      <c r="BF14" s="140">
        <f t="shared" si="23"/>
        <v>88.960000000000036</v>
      </c>
      <c r="BG14" s="241">
        <f t="shared" si="24"/>
        <v>148.63373000000001</v>
      </c>
      <c r="BH14" s="348">
        <v>620.75</v>
      </c>
      <c r="BI14" s="216">
        <v>515.54999999999995</v>
      </c>
    </row>
    <row r="15" spans="1:61" ht="15.75" thickBot="1" x14ac:dyDescent="0.3">
      <c r="A15" s="29" t="s">
        <v>86</v>
      </c>
      <c r="B15" s="3">
        <v>273.44</v>
      </c>
      <c r="C15" s="3">
        <v>448.8</v>
      </c>
      <c r="D15" s="44">
        <v>262.66000000000003</v>
      </c>
      <c r="E15" s="48">
        <v>431.1</v>
      </c>
      <c r="F15" s="5">
        <f t="shared" si="0"/>
        <v>10.779999999999973</v>
      </c>
      <c r="G15" s="52">
        <f t="shared" si="0"/>
        <v>17.699999999999989</v>
      </c>
      <c r="H15" s="6">
        <v>243.89</v>
      </c>
      <c r="I15" s="6">
        <v>377.34</v>
      </c>
      <c r="J15" s="40">
        <f t="shared" si="8"/>
        <v>-18.770000000000039</v>
      </c>
      <c r="K15" s="40">
        <f t="shared" si="9"/>
        <v>-53.760000000000048</v>
      </c>
      <c r="L15" s="3">
        <v>59.21</v>
      </c>
      <c r="M15" s="3">
        <v>97.2</v>
      </c>
      <c r="N15" s="4">
        <v>71.370999999999995</v>
      </c>
      <c r="O15" s="48">
        <v>117.1</v>
      </c>
      <c r="P15" s="5">
        <f t="shared" si="1"/>
        <v>-12.160999999999994</v>
      </c>
      <c r="Q15" s="5">
        <f t="shared" si="1"/>
        <v>-19.899999999999991</v>
      </c>
      <c r="R15" s="6">
        <v>91.76</v>
      </c>
      <c r="S15" s="6">
        <v>141.93</v>
      </c>
      <c r="T15" s="7">
        <f t="shared" si="25"/>
        <v>20.38900000000001</v>
      </c>
      <c r="U15" s="7">
        <f t="shared" si="25"/>
        <v>24.830000000000013</v>
      </c>
      <c r="V15" s="3">
        <f t="shared" si="10"/>
        <v>332.65</v>
      </c>
      <c r="W15" s="3">
        <f t="shared" si="11"/>
        <v>546</v>
      </c>
      <c r="X15" s="8">
        <v>334.03</v>
      </c>
      <c r="Y15" s="8">
        <v>548.20000000000005</v>
      </c>
      <c r="Z15" s="5">
        <f t="shared" si="26"/>
        <v>-1.3799999999999955</v>
      </c>
      <c r="AA15" s="5">
        <f t="shared" si="26"/>
        <v>-2.2000000000000455</v>
      </c>
      <c r="AB15" s="11">
        <v>335.65</v>
      </c>
      <c r="AC15" s="11">
        <v>519.27</v>
      </c>
      <c r="AD15" s="12">
        <f t="shared" si="27"/>
        <v>1.6200000000000045</v>
      </c>
      <c r="AE15" s="12">
        <f t="shared" si="27"/>
        <v>-28.930000000000064</v>
      </c>
      <c r="AF15" s="57">
        <v>15.34</v>
      </c>
      <c r="AG15" s="57">
        <v>26.3</v>
      </c>
      <c r="AH15" s="58">
        <v>16.094999999999999</v>
      </c>
      <c r="AI15" s="59">
        <v>27.521999999999998</v>
      </c>
      <c r="AJ15" s="5">
        <f t="shared" si="12"/>
        <v>-0.75499999999999901</v>
      </c>
      <c r="AK15" s="52">
        <f t="shared" si="13"/>
        <v>-1.2219999999999978</v>
      </c>
      <c r="AL15" s="6">
        <v>15.3</v>
      </c>
      <c r="AM15" s="6">
        <v>25.12</v>
      </c>
      <c r="AN15" s="12">
        <f t="shared" si="14"/>
        <v>-0.79499999999999815</v>
      </c>
      <c r="AO15" s="65">
        <f t="shared" si="15"/>
        <v>-2.4019999999999975</v>
      </c>
      <c r="AP15" s="67">
        <f t="shared" si="16"/>
        <v>350.125</v>
      </c>
      <c r="AQ15" s="67">
        <f t="shared" si="5"/>
        <v>575.72200000000009</v>
      </c>
      <c r="AR15" s="57">
        <f t="shared" si="17"/>
        <v>347.98999999999995</v>
      </c>
      <c r="AS15" s="57">
        <f t="shared" si="18"/>
        <v>572.29999999999995</v>
      </c>
      <c r="AT15" s="140">
        <f t="shared" si="19"/>
        <v>-2.1350000000000477</v>
      </c>
      <c r="AU15" s="140">
        <f t="shared" si="20"/>
        <v>-3.4220000000001392</v>
      </c>
      <c r="AV15" s="67">
        <v>179.55</v>
      </c>
      <c r="AW15" s="67">
        <v>307.03050999999999</v>
      </c>
      <c r="AX15" s="57">
        <v>222.15</v>
      </c>
      <c r="AY15" s="57">
        <v>380</v>
      </c>
      <c r="AZ15" s="140">
        <f t="shared" si="21"/>
        <v>42.599999999999994</v>
      </c>
      <c r="BA15" s="140">
        <f t="shared" si="22"/>
        <v>72.969490000000008</v>
      </c>
      <c r="BB15" s="67">
        <f t="shared" si="6"/>
        <v>529.67599999999993</v>
      </c>
      <c r="BC15" s="67">
        <f t="shared" si="7"/>
        <v>882.75251000000003</v>
      </c>
      <c r="BD15" s="57">
        <v>570.14</v>
      </c>
      <c r="BE15" s="57">
        <v>952.3</v>
      </c>
      <c r="BF15" s="140">
        <f t="shared" si="23"/>
        <v>40.464000000000055</v>
      </c>
      <c r="BG15" s="241">
        <f t="shared" si="24"/>
        <v>69.547489999999925</v>
      </c>
      <c r="BH15" s="348">
        <v>493.44</v>
      </c>
      <c r="BI15" s="216">
        <v>536.61</v>
      </c>
    </row>
    <row r="16" spans="1:61" ht="15.75" thickBot="1" x14ac:dyDescent="0.3">
      <c r="A16" s="29" t="s">
        <v>80</v>
      </c>
      <c r="B16" s="3">
        <v>25.05</v>
      </c>
      <c r="C16" s="3">
        <v>42.3</v>
      </c>
      <c r="D16" s="44">
        <v>21.88</v>
      </c>
      <c r="E16" s="48">
        <v>35.799999999999997</v>
      </c>
      <c r="F16" s="5">
        <f t="shared" si="0"/>
        <v>3.1700000000000017</v>
      </c>
      <c r="G16" s="52">
        <f t="shared" si="0"/>
        <v>6.5</v>
      </c>
      <c r="H16" s="6">
        <v>22.65</v>
      </c>
      <c r="I16" s="6">
        <v>35.04</v>
      </c>
      <c r="J16" s="40">
        <f t="shared" si="8"/>
        <v>0.76999999999999957</v>
      </c>
      <c r="K16" s="40">
        <f t="shared" si="9"/>
        <v>-0.75999999999999801</v>
      </c>
      <c r="L16" s="3">
        <v>5.42</v>
      </c>
      <c r="M16" s="3">
        <v>8.6999999999999993</v>
      </c>
      <c r="N16" s="4">
        <v>4.45</v>
      </c>
      <c r="O16" s="48">
        <v>7.3</v>
      </c>
      <c r="P16" s="5">
        <f t="shared" si="1"/>
        <v>0.96999999999999975</v>
      </c>
      <c r="Q16" s="5">
        <f t="shared" si="1"/>
        <v>1.3999999999999995</v>
      </c>
      <c r="R16" s="6">
        <v>4.92</v>
      </c>
      <c r="S16" s="6">
        <v>7.6</v>
      </c>
      <c r="T16" s="7">
        <f t="shared" si="25"/>
        <v>0.46999999999999975</v>
      </c>
      <c r="U16" s="7">
        <f t="shared" si="25"/>
        <v>0.29999999999999982</v>
      </c>
      <c r="V16" s="3">
        <f t="shared" si="10"/>
        <v>30.47</v>
      </c>
      <c r="W16" s="3">
        <f t="shared" si="11"/>
        <v>51</v>
      </c>
      <c r="X16" s="8">
        <v>26.33</v>
      </c>
      <c r="Y16" s="8">
        <v>43.1</v>
      </c>
      <c r="Z16" s="5">
        <f t="shared" si="26"/>
        <v>4.1400000000000006</v>
      </c>
      <c r="AA16" s="5">
        <f t="shared" si="26"/>
        <v>7.8999999999999986</v>
      </c>
      <c r="AB16" s="11">
        <v>27.57</v>
      </c>
      <c r="AC16" s="11">
        <v>42.64</v>
      </c>
      <c r="AD16" s="12">
        <f t="shared" si="27"/>
        <v>1.240000000000002</v>
      </c>
      <c r="AE16" s="12">
        <f t="shared" si="27"/>
        <v>-0.46000000000000085</v>
      </c>
      <c r="AF16" s="57">
        <v>1.41</v>
      </c>
      <c r="AG16" s="57">
        <v>2.2999999999999998</v>
      </c>
      <c r="AH16" s="58">
        <v>1.34</v>
      </c>
      <c r="AI16" s="59">
        <v>2.2909999999999999</v>
      </c>
      <c r="AJ16" s="5">
        <f t="shared" si="12"/>
        <v>6.999999999999984E-2</v>
      </c>
      <c r="AK16" s="52">
        <f t="shared" si="13"/>
        <v>8.999999999999897E-3</v>
      </c>
      <c r="AL16" s="6">
        <v>0.53</v>
      </c>
      <c r="AM16" s="6">
        <v>0.87</v>
      </c>
      <c r="AN16" s="12">
        <f t="shared" si="14"/>
        <v>-0.81</v>
      </c>
      <c r="AO16" s="65">
        <f t="shared" si="15"/>
        <v>-1.4209999999999998</v>
      </c>
      <c r="AP16" s="67">
        <f t="shared" si="16"/>
        <v>27.669999999999998</v>
      </c>
      <c r="AQ16" s="67">
        <f t="shared" si="5"/>
        <v>45.390999999999998</v>
      </c>
      <c r="AR16" s="57">
        <f t="shared" si="17"/>
        <v>31.88</v>
      </c>
      <c r="AS16" s="57">
        <f t="shared" si="18"/>
        <v>53.3</v>
      </c>
      <c r="AT16" s="140">
        <f t="shared" si="19"/>
        <v>4.2100000000000009</v>
      </c>
      <c r="AU16" s="140">
        <f t="shared" si="20"/>
        <v>7.9089999999999989</v>
      </c>
      <c r="AV16" s="67">
        <v>16.920000000000002</v>
      </c>
      <c r="AW16" s="67">
        <v>28.933199999999999</v>
      </c>
      <c r="AX16" s="57">
        <v>20.350000000000001</v>
      </c>
      <c r="AY16" s="57">
        <v>34.799999999999997</v>
      </c>
      <c r="AZ16" s="140">
        <f t="shared" si="21"/>
        <v>3.4299999999999997</v>
      </c>
      <c r="BA16" s="140">
        <f t="shared" si="22"/>
        <v>5.8667999999999978</v>
      </c>
      <c r="BB16" s="67">
        <f t="shared" si="6"/>
        <v>44.59</v>
      </c>
      <c r="BC16" s="67">
        <f t="shared" si="7"/>
        <v>74.32419999999999</v>
      </c>
      <c r="BD16" s="57">
        <v>52.23</v>
      </c>
      <c r="BE16" s="57">
        <v>88.1</v>
      </c>
      <c r="BF16" s="140">
        <f t="shared" si="23"/>
        <v>7.6399999999999935</v>
      </c>
      <c r="BG16" s="241">
        <f t="shared" si="24"/>
        <v>13.775800000000004</v>
      </c>
      <c r="BH16" s="348">
        <v>38.43</v>
      </c>
      <c r="BI16" s="216">
        <v>55.27</v>
      </c>
    </row>
    <row r="17" spans="1:61" ht="15.75" thickBot="1" x14ac:dyDescent="0.3">
      <c r="A17" s="29" t="s">
        <v>87</v>
      </c>
      <c r="B17" s="3">
        <v>182.32</v>
      </c>
      <c r="C17" s="3">
        <v>579.1</v>
      </c>
      <c r="D17" s="44">
        <v>162.22</v>
      </c>
      <c r="E17" s="48">
        <v>515.29999999999995</v>
      </c>
      <c r="F17" s="5">
        <f t="shared" si="0"/>
        <v>20.099999999999994</v>
      </c>
      <c r="G17" s="52">
        <f t="shared" si="0"/>
        <v>63.800000000000068</v>
      </c>
      <c r="H17" s="6">
        <v>145.38999999999999</v>
      </c>
      <c r="I17" s="6">
        <v>425.75</v>
      </c>
      <c r="J17" s="40">
        <f t="shared" si="8"/>
        <v>-16.830000000000013</v>
      </c>
      <c r="K17" s="40">
        <f t="shared" si="9"/>
        <v>-89.549999999999955</v>
      </c>
      <c r="L17" s="3">
        <v>39.479999999999997</v>
      </c>
      <c r="M17" s="3">
        <v>8.6999999999999993</v>
      </c>
      <c r="N17" s="4">
        <v>41.35</v>
      </c>
      <c r="O17" s="48">
        <v>131.30000000000001</v>
      </c>
      <c r="P17" s="5">
        <f t="shared" si="1"/>
        <v>-1.8700000000000045</v>
      </c>
      <c r="Q17" s="5">
        <f t="shared" si="1"/>
        <v>-122.60000000000001</v>
      </c>
      <c r="R17" s="6">
        <v>39.4</v>
      </c>
      <c r="S17" s="6">
        <v>115.38</v>
      </c>
      <c r="T17" s="7">
        <f t="shared" si="25"/>
        <v>-1.9500000000000028</v>
      </c>
      <c r="U17" s="7">
        <f t="shared" si="25"/>
        <v>-15.920000000000016</v>
      </c>
      <c r="V17" s="3">
        <f t="shared" si="10"/>
        <v>221.79999999999998</v>
      </c>
      <c r="W17" s="3">
        <f t="shared" si="11"/>
        <v>587.80000000000007</v>
      </c>
      <c r="X17" s="8">
        <v>203.57</v>
      </c>
      <c r="Y17" s="8">
        <v>646.6</v>
      </c>
      <c r="Z17" s="5">
        <f t="shared" si="26"/>
        <v>18.22999999999999</v>
      </c>
      <c r="AA17" s="5">
        <f t="shared" si="26"/>
        <v>-58.799999999999955</v>
      </c>
      <c r="AB17" s="11">
        <v>184.79</v>
      </c>
      <c r="AC17" s="11">
        <v>541.13</v>
      </c>
      <c r="AD17" s="12">
        <f t="shared" si="27"/>
        <v>-18.78</v>
      </c>
      <c r="AE17" s="12">
        <f t="shared" si="27"/>
        <v>-105.47000000000003</v>
      </c>
      <c r="AF17" s="57">
        <v>10.23</v>
      </c>
      <c r="AG17" s="57">
        <v>33.9</v>
      </c>
      <c r="AH17" s="58">
        <v>90.927000000000007</v>
      </c>
      <c r="AI17" s="59">
        <v>276.233</v>
      </c>
      <c r="AJ17" s="5">
        <f t="shared" si="12"/>
        <v>-80.697000000000003</v>
      </c>
      <c r="AK17" s="52">
        <f t="shared" si="13"/>
        <v>-242.333</v>
      </c>
      <c r="AL17" s="6">
        <v>11.18</v>
      </c>
      <c r="AM17" s="6">
        <v>35.5</v>
      </c>
      <c r="AN17" s="12">
        <f t="shared" si="14"/>
        <v>-79.747000000000014</v>
      </c>
      <c r="AO17" s="65">
        <f t="shared" si="15"/>
        <v>-240.733</v>
      </c>
      <c r="AP17" s="67">
        <f t="shared" si="16"/>
        <v>294.49700000000001</v>
      </c>
      <c r="AQ17" s="67">
        <f t="shared" si="5"/>
        <v>922.83300000000008</v>
      </c>
      <c r="AR17" s="57">
        <f t="shared" si="17"/>
        <v>232.02999999999997</v>
      </c>
      <c r="AS17" s="57">
        <f t="shared" si="18"/>
        <v>621.70000000000005</v>
      </c>
      <c r="AT17" s="140">
        <f t="shared" si="19"/>
        <v>-62.467000000000041</v>
      </c>
      <c r="AU17" s="140">
        <f t="shared" si="20"/>
        <v>-301.13300000000004</v>
      </c>
      <c r="AV17" s="67">
        <v>161.44</v>
      </c>
      <c r="AW17" s="67">
        <v>534.30183</v>
      </c>
      <c r="AX17" s="57">
        <v>148.12</v>
      </c>
      <c r="AY17" s="57">
        <v>490.2</v>
      </c>
      <c r="AZ17" s="140">
        <f t="shared" si="21"/>
        <v>-13.319999999999993</v>
      </c>
      <c r="BA17" s="140">
        <f t="shared" si="22"/>
        <v>-44.101830000000007</v>
      </c>
      <c r="BB17" s="67">
        <f t="shared" si="6"/>
        <v>455.93700000000001</v>
      </c>
      <c r="BC17" s="67">
        <f t="shared" si="7"/>
        <v>1457.13483</v>
      </c>
      <c r="BD17" s="57">
        <v>380.15</v>
      </c>
      <c r="BE17" s="57">
        <v>1228.5999999999999</v>
      </c>
      <c r="BF17" s="140">
        <f t="shared" si="23"/>
        <v>-75.787000000000035</v>
      </c>
      <c r="BG17" s="241">
        <f t="shared" si="24"/>
        <v>-228.53483000000006</v>
      </c>
      <c r="BH17" s="348">
        <v>334.39</v>
      </c>
      <c r="BI17" s="216">
        <v>327.33</v>
      </c>
    </row>
    <row r="18" spans="1:61" ht="15.75" thickBot="1" x14ac:dyDescent="0.3">
      <c r="A18" s="29" t="s">
        <v>88</v>
      </c>
      <c r="B18" s="3">
        <v>271.89999999999998</v>
      </c>
      <c r="C18" s="3">
        <v>863.6</v>
      </c>
      <c r="D18" s="44">
        <v>242.2</v>
      </c>
      <c r="E18" s="48">
        <v>769.3</v>
      </c>
      <c r="F18" s="5">
        <f t="shared" si="0"/>
        <v>29.699999999999989</v>
      </c>
      <c r="G18" s="52">
        <f t="shared" si="0"/>
        <v>94.300000000000068</v>
      </c>
      <c r="H18" s="6">
        <v>262.92</v>
      </c>
      <c r="I18" s="6">
        <v>769.93</v>
      </c>
      <c r="J18" s="40">
        <f t="shared" si="8"/>
        <v>20.720000000000027</v>
      </c>
      <c r="K18" s="40">
        <f t="shared" si="9"/>
        <v>0.62999999999999545</v>
      </c>
      <c r="L18" s="3">
        <v>59.03</v>
      </c>
      <c r="M18" s="3">
        <v>187.5</v>
      </c>
      <c r="N18" s="4">
        <v>69.772999999999996</v>
      </c>
      <c r="O18" s="48">
        <v>221.6</v>
      </c>
      <c r="P18" s="5">
        <f t="shared" si="1"/>
        <v>-10.742999999999995</v>
      </c>
      <c r="Q18" s="5">
        <f t="shared" si="1"/>
        <v>-34.099999999999994</v>
      </c>
      <c r="R18" s="6">
        <v>73.48</v>
      </c>
      <c r="S18" s="6">
        <v>215.19</v>
      </c>
      <c r="T18" s="7">
        <f t="shared" si="25"/>
        <v>3.7070000000000078</v>
      </c>
      <c r="U18" s="7">
        <f t="shared" si="25"/>
        <v>-6.4099999999999966</v>
      </c>
      <c r="V18" s="3">
        <f t="shared" si="10"/>
        <v>330.92999999999995</v>
      </c>
      <c r="W18" s="3">
        <f t="shared" si="11"/>
        <v>1051.0999999999999</v>
      </c>
      <c r="X18" s="8">
        <v>311.97000000000003</v>
      </c>
      <c r="Y18" s="8">
        <v>990.9</v>
      </c>
      <c r="Z18" s="5">
        <f t="shared" si="26"/>
        <v>18.959999999999923</v>
      </c>
      <c r="AA18" s="5">
        <f t="shared" si="26"/>
        <v>60.199999999999932</v>
      </c>
      <c r="AB18" s="11">
        <v>336.4</v>
      </c>
      <c r="AC18" s="11">
        <v>985.12</v>
      </c>
      <c r="AD18" s="12">
        <f t="shared" si="27"/>
        <v>24.42999999999995</v>
      </c>
      <c r="AE18" s="12">
        <f t="shared" si="27"/>
        <v>-5.7799999999999727</v>
      </c>
      <c r="AF18" s="57">
        <v>15.32</v>
      </c>
      <c r="AG18" s="57">
        <v>50.7</v>
      </c>
      <c r="AH18" s="58">
        <v>45.991</v>
      </c>
      <c r="AI18" s="59">
        <v>149.47800000000001</v>
      </c>
      <c r="AJ18" s="5">
        <f t="shared" si="12"/>
        <v>-30.670999999999999</v>
      </c>
      <c r="AK18" s="52">
        <f t="shared" si="13"/>
        <v>-98.778000000000006</v>
      </c>
      <c r="AL18" s="6">
        <v>9.5</v>
      </c>
      <c r="AM18" s="6">
        <v>30.17</v>
      </c>
      <c r="AN18" s="12">
        <f t="shared" si="14"/>
        <v>-36.491</v>
      </c>
      <c r="AO18" s="65">
        <f t="shared" si="15"/>
        <v>-119.30800000000001</v>
      </c>
      <c r="AP18" s="67">
        <f t="shared" si="16"/>
        <v>357.96100000000001</v>
      </c>
      <c r="AQ18" s="67">
        <f t="shared" si="5"/>
        <v>1140.3779999999999</v>
      </c>
      <c r="AR18" s="57">
        <f t="shared" si="17"/>
        <v>346.24999999999994</v>
      </c>
      <c r="AS18" s="57">
        <f t="shared" si="18"/>
        <v>1101.8</v>
      </c>
      <c r="AT18" s="140">
        <f t="shared" si="19"/>
        <v>-11.71100000000007</v>
      </c>
      <c r="AU18" s="140">
        <f t="shared" si="20"/>
        <v>-38.577999999999975</v>
      </c>
      <c r="AV18" s="67">
        <v>221.2</v>
      </c>
      <c r="AW18" s="67">
        <v>732.08352000000002</v>
      </c>
      <c r="AX18" s="57">
        <v>221.2</v>
      </c>
      <c r="AY18" s="57">
        <v>732.1</v>
      </c>
      <c r="AZ18" s="140">
        <f t="shared" si="21"/>
        <v>0</v>
      </c>
      <c r="BA18" s="140">
        <f t="shared" si="22"/>
        <v>1.6480000000001382E-2</v>
      </c>
      <c r="BB18" s="67">
        <f t="shared" si="6"/>
        <v>579.16399999999999</v>
      </c>
      <c r="BC18" s="67">
        <f t="shared" si="7"/>
        <v>1872.4615199999998</v>
      </c>
      <c r="BD18" s="57">
        <v>567.45000000000005</v>
      </c>
      <c r="BE18" s="57">
        <v>1833.9</v>
      </c>
      <c r="BF18" s="140">
        <f t="shared" si="23"/>
        <v>-11.713999999999942</v>
      </c>
      <c r="BG18" s="241">
        <f t="shared" si="24"/>
        <v>-38.561519999999746</v>
      </c>
      <c r="BH18" s="348">
        <v>536.78</v>
      </c>
      <c r="BI18" s="216">
        <v>401.03</v>
      </c>
    </row>
    <row r="19" spans="1:61" ht="15.75" thickBot="1" x14ac:dyDescent="0.3">
      <c r="A19" s="29" t="s">
        <v>89</v>
      </c>
      <c r="B19" s="3">
        <v>112.62</v>
      </c>
      <c r="C19" s="3">
        <v>357.7</v>
      </c>
      <c r="D19" s="44">
        <v>112.62</v>
      </c>
      <c r="E19" s="48">
        <v>357.7</v>
      </c>
      <c r="F19" s="5">
        <f t="shared" si="0"/>
        <v>0</v>
      </c>
      <c r="G19" s="52">
        <f t="shared" si="0"/>
        <v>0</v>
      </c>
      <c r="H19" s="6">
        <v>75.680000000000007</v>
      </c>
      <c r="I19" s="6">
        <v>221.62</v>
      </c>
      <c r="J19" s="40">
        <f t="shared" si="8"/>
        <v>-36.94</v>
      </c>
      <c r="K19" s="40">
        <f t="shared" si="9"/>
        <v>-136.07999999999998</v>
      </c>
      <c r="L19" s="3">
        <v>24.45</v>
      </c>
      <c r="M19" s="3">
        <v>77.7</v>
      </c>
      <c r="N19" s="4">
        <v>24.45</v>
      </c>
      <c r="O19" s="48">
        <v>77.650000000000006</v>
      </c>
      <c r="P19" s="5">
        <f t="shared" si="1"/>
        <v>0</v>
      </c>
      <c r="Q19" s="5">
        <f t="shared" si="1"/>
        <v>4.9999999999997158E-2</v>
      </c>
      <c r="R19" s="6">
        <v>24.45</v>
      </c>
      <c r="S19" s="6">
        <v>71.59</v>
      </c>
      <c r="T19" s="7">
        <f t="shared" si="25"/>
        <v>0</v>
      </c>
      <c r="U19" s="7">
        <f t="shared" si="25"/>
        <v>-6.0600000000000023</v>
      </c>
      <c r="V19" s="3">
        <f t="shared" si="10"/>
        <v>137.07</v>
      </c>
      <c r="W19" s="3">
        <f t="shared" si="11"/>
        <v>435.4</v>
      </c>
      <c r="X19" s="8">
        <v>137.07</v>
      </c>
      <c r="Y19" s="8">
        <v>435.35</v>
      </c>
      <c r="Z19" s="5">
        <f t="shared" si="26"/>
        <v>0</v>
      </c>
      <c r="AA19" s="5">
        <f t="shared" si="26"/>
        <v>4.9999999999954525E-2</v>
      </c>
      <c r="AB19" s="11">
        <v>100.13</v>
      </c>
      <c r="AC19" s="11">
        <v>293.20999999999998</v>
      </c>
      <c r="AD19" s="12">
        <f t="shared" si="27"/>
        <v>-36.94</v>
      </c>
      <c r="AE19" s="12">
        <f t="shared" si="27"/>
        <v>-142.14000000000004</v>
      </c>
      <c r="AF19" s="57">
        <v>6.35</v>
      </c>
      <c r="AG19" s="57">
        <v>21</v>
      </c>
      <c r="AH19" s="58">
        <v>6.35</v>
      </c>
      <c r="AI19" s="59">
        <v>21.015999999999998</v>
      </c>
      <c r="AJ19" s="5">
        <f t="shared" si="12"/>
        <v>0</v>
      </c>
      <c r="AK19" s="52">
        <f t="shared" si="13"/>
        <v>-1.5999999999998238E-2</v>
      </c>
      <c r="AL19" s="6">
        <v>6.35</v>
      </c>
      <c r="AM19" s="6">
        <v>20.2</v>
      </c>
      <c r="AN19" s="12">
        <f t="shared" si="14"/>
        <v>0</v>
      </c>
      <c r="AO19" s="65">
        <f t="shared" si="15"/>
        <v>-0.81599999999999895</v>
      </c>
      <c r="AP19" s="67">
        <f t="shared" si="16"/>
        <v>143.41999999999999</v>
      </c>
      <c r="AQ19" s="67">
        <f t="shared" si="5"/>
        <v>456.36600000000004</v>
      </c>
      <c r="AR19" s="57">
        <f t="shared" si="17"/>
        <v>143.41999999999999</v>
      </c>
      <c r="AS19" s="57">
        <f t="shared" si="18"/>
        <v>456.4</v>
      </c>
      <c r="AT19" s="140">
        <f t="shared" si="19"/>
        <v>0</v>
      </c>
      <c r="AU19" s="140">
        <f t="shared" si="20"/>
        <v>3.3999999999934971E-2</v>
      </c>
      <c r="AV19" s="67">
        <v>91.62</v>
      </c>
      <c r="AW19" s="67">
        <v>303.22555</v>
      </c>
      <c r="AX19" s="57">
        <v>83.79</v>
      </c>
      <c r="AY19" s="57">
        <v>277.3</v>
      </c>
      <c r="AZ19" s="140">
        <f t="shared" si="21"/>
        <v>-7.8299999999999983</v>
      </c>
      <c r="BA19" s="140">
        <f t="shared" si="22"/>
        <v>-25.925549999999987</v>
      </c>
      <c r="BB19" s="67">
        <f t="shared" si="6"/>
        <v>235.04</v>
      </c>
      <c r="BC19" s="67">
        <f t="shared" si="7"/>
        <v>759.5915500000001</v>
      </c>
      <c r="BD19" s="57">
        <v>235.04</v>
      </c>
      <c r="BE19" s="57">
        <v>759.6</v>
      </c>
      <c r="BF19" s="140">
        <f t="shared" si="23"/>
        <v>0</v>
      </c>
      <c r="BG19" s="241">
        <f t="shared" si="24"/>
        <v>8.4499999999252395E-3</v>
      </c>
      <c r="BH19" s="348">
        <v>235.04</v>
      </c>
      <c r="BI19" s="216">
        <v>182.53</v>
      </c>
    </row>
    <row r="20" spans="1:61" ht="15.75" thickBot="1" x14ac:dyDescent="0.3">
      <c r="A20" s="29" t="s">
        <v>90</v>
      </c>
      <c r="B20" s="3">
        <v>209.12</v>
      </c>
      <c r="C20" s="3">
        <v>343.2</v>
      </c>
      <c r="D20" s="44">
        <v>194.47</v>
      </c>
      <c r="E20" s="48">
        <v>319.2</v>
      </c>
      <c r="F20" s="5">
        <f t="shared" si="0"/>
        <v>14.650000000000006</v>
      </c>
      <c r="G20" s="52">
        <f t="shared" si="0"/>
        <v>24</v>
      </c>
      <c r="H20" s="6">
        <v>141.88999999999999</v>
      </c>
      <c r="I20" s="6">
        <v>230.35</v>
      </c>
      <c r="J20" s="40">
        <f t="shared" si="8"/>
        <v>-52.580000000000013</v>
      </c>
      <c r="K20" s="40">
        <f t="shared" si="9"/>
        <v>-88.85</v>
      </c>
      <c r="L20" s="3">
        <v>45.28</v>
      </c>
      <c r="M20" s="3">
        <v>74.3</v>
      </c>
      <c r="N20" s="4">
        <v>39.268000000000001</v>
      </c>
      <c r="O20" s="48">
        <v>64.400000000000006</v>
      </c>
      <c r="P20" s="5">
        <f t="shared" si="1"/>
        <v>6.0120000000000005</v>
      </c>
      <c r="Q20" s="5">
        <f t="shared" si="1"/>
        <v>9.8999999999999915</v>
      </c>
      <c r="R20" s="6">
        <v>47.38</v>
      </c>
      <c r="S20" s="6">
        <v>73.31</v>
      </c>
      <c r="T20" s="7">
        <f t="shared" si="25"/>
        <v>8.1120000000000019</v>
      </c>
      <c r="U20" s="7">
        <f t="shared" si="25"/>
        <v>8.9099999999999966</v>
      </c>
      <c r="V20" s="3">
        <f t="shared" si="10"/>
        <v>254.4</v>
      </c>
      <c r="W20" s="3">
        <f t="shared" si="11"/>
        <v>417.5</v>
      </c>
      <c r="X20" s="8">
        <v>233.74</v>
      </c>
      <c r="Y20" s="8">
        <v>383.6</v>
      </c>
      <c r="Z20" s="5">
        <f t="shared" si="26"/>
        <v>20.659999999999997</v>
      </c>
      <c r="AA20" s="5">
        <f t="shared" si="26"/>
        <v>33.899999999999977</v>
      </c>
      <c r="AB20" s="11">
        <v>189.27</v>
      </c>
      <c r="AC20" s="11">
        <v>303.66000000000003</v>
      </c>
      <c r="AD20" s="12">
        <f t="shared" si="27"/>
        <v>-44.47</v>
      </c>
      <c r="AE20" s="12">
        <f t="shared" si="27"/>
        <v>-79.94</v>
      </c>
      <c r="AF20" s="57">
        <v>11.73</v>
      </c>
      <c r="AG20" s="57">
        <v>20.100000000000001</v>
      </c>
      <c r="AH20" s="58">
        <v>137.03</v>
      </c>
      <c r="AI20" s="59">
        <v>218.732</v>
      </c>
      <c r="AJ20" s="5">
        <f t="shared" si="12"/>
        <v>-125.3</v>
      </c>
      <c r="AK20" s="52">
        <f t="shared" si="13"/>
        <v>-198.63200000000001</v>
      </c>
      <c r="AL20" s="6">
        <v>12.45</v>
      </c>
      <c r="AM20" s="6">
        <v>20.399999999999999</v>
      </c>
      <c r="AN20" s="12">
        <f t="shared" si="14"/>
        <v>-124.58</v>
      </c>
      <c r="AO20" s="65">
        <f t="shared" si="15"/>
        <v>-198.33199999999999</v>
      </c>
      <c r="AP20" s="67">
        <f t="shared" si="16"/>
        <v>370.77</v>
      </c>
      <c r="AQ20" s="67">
        <f t="shared" si="5"/>
        <v>602.33199999999999</v>
      </c>
      <c r="AR20" s="57">
        <f t="shared" si="17"/>
        <v>266.13</v>
      </c>
      <c r="AS20" s="57">
        <f t="shared" si="18"/>
        <v>437.6</v>
      </c>
      <c r="AT20" s="140">
        <f t="shared" si="19"/>
        <v>-104.63999999999999</v>
      </c>
      <c r="AU20" s="140">
        <f t="shared" si="20"/>
        <v>-164.73199999999997</v>
      </c>
      <c r="AV20" s="67">
        <v>179.72</v>
      </c>
      <c r="AW20" s="67">
        <v>307.32119999999998</v>
      </c>
      <c r="AX20" s="57">
        <v>169.9</v>
      </c>
      <c r="AY20" s="57">
        <v>290.60000000000002</v>
      </c>
      <c r="AZ20" s="140">
        <f t="shared" si="21"/>
        <v>-9.8199999999999932</v>
      </c>
      <c r="BA20" s="140">
        <f t="shared" si="22"/>
        <v>-16.721199999999953</v>
      </c>
      <c r="BB20" s="67">
        <f t="shared" si="6"/>
        <v>550.48800000000006</v>
      </c>
      <c r="BC20" s="67">
        <f t="shared" si="7"/>
        <v>909.65319999999997</v>
      </c>
      <c r="BD20" s="57">
        <v>436.03</v>
      </c>
      <c r="BE20" s="57">
        <v>728.2</v>
      </c>
      <c r="BF20" s="140">
        <f t="shared" si="23"/>
        <v>-114.45800000000008</v>
      </c>
      <c r="BG20" s="241">
        <f t="shared" si="24"/>
        <v>-181.45319999999992</v>
      </c>
      <c r="BH20" s="348">
        <v>398.46</v>
      </c>
      <c r="BI20" s="216">
        <v>293.75</v>
      </c>
    </row>
    <row r="21" spans="1:61" ht="15.75" thickBot="1" x14ac:dyDescent="0.3">
      <c r="A21" s="29" t="s">
        <v>91</v>
      </c>
      <c r="B21" s="3">
        <v>246.62</v>
      </c>
      <c r="C21" s="3">
        <v>783.3</v>
      </c>
      <c r="D21" s="44">
        <v>174.87</v>
      </c>
      <c r="E21" s="48">
        <v>555.4</v>
      </c>
      <c r="F21" s="5">
        <f t="shared" si="0"/>
        <v>71.75</v>
      </c>
      <c r="G21" s="52">
        <f t="shared" si="0"/>
        <v>227.89999999999998</v>
      </c>
      <c r="H21" s="6">
        <v>176.26</v>
      </c>
      <c r="I21" s="6">
        <v>516.15</v>
      </c>
      <c r="J21" s="40">
        <f t="shared" si="8"/>
        <v>1.3899999999999864</v>
      </c>
      <c r="K21" s="40">
        <f t="shared" si="9"/>
        <v>-39.25</v>
      </c>
      <c r="L21" s="3">
        <v>53.4</v>
      </c>
      <c r="M21" s="3">
        <v>169.6</v>
      </c>
      <c r="N21" s="4">
        <v>48.384999999999998</v>
      </c>
      <c r="O21" s="48">
        <v>153.6</v>
      </c>
      <c r="P21" s="5">
        <f t="shared" si="1"/>
        <v>5.0150000000000006</v>
      </c>
      <c r="Q21" s="5">
        <f t="shared" si="1"/>
        <v>16</v>
      </c>
      <c r="R21" s="6">
        <v>47.03</v>
      </c>
      <c r="S21" s="6">
        <v>137.72999999999999</v>
      </c>
      <c r="T21" s="7">
        <f t="shared" si="25"/>
        <v>-1.3549999999999969</v>
      </c>
      <c r="U21" s="7">
        <f t="shared" si="25"/>
        <v>-15.870000000000005</v>
      </c>
      <c r="V21" s="3">
        <f t="shared" si="10"/>
        <v>300.02</v>
      </c>
      <c r="W21" s="3">
        <f t="shared" si="11"/>
        <v>952.9</v>
      </c>
      <c r="X21" s="8">
        <v>223.25</v>
      </c>
      <c r="Y21" s="8">
        <v>709</v>
      </c>
      <c r="Z21" s="5">
        <f t="shared" si="26"/>
        <v>76.769999999999982</v>
      </c>
      <c r="AA21" s="5">
        <f t="shared" si="26"/>
        <v>243.89999999999998</v>
      </c>
      <c r="AB21" s="11">
        <v>223.29</v>
      </c>
      <c r="AC21" s="11">
        <v>653.88</v>
      </c>
      <c r="AD21" s="12">
        <f t="shared" si="27"/>
        <v>3.9999999999992042E-2</v>
      </c>
      <c r="AE21" s="12">
        <f t="shared" si="27"/>
        <v>-55.120000000000005</v>
      </c>
      <c r="AF21" s="57">
        <v>13.84</v>
      </c>
      <c r="AG21" s="57">
        <v>45.8</v>
      </c>
      <c r="AH21" s="58">
        <v>196.19399999999999</v>
      </c>
      <c r="AI21" s="59">
        <v>599.245</v>
      </c>
      <c r="AJ21" s="5">
        <f t="shared" si="12"/>
        <v>-182.35399999999998</v>
      </c>
      <c r="AK21" s="52">
        <f t="shared" si="13"/>
        <v>-553.44500000000005</v>
      </c>
      <c r="AL21" s="6">
        <v>13.98</v>
      </c>
      <c r="AM21" s="6">
        <v>44.4</v>
      </c>
      <c r="AN21" s="12">
        <f t="shared" si="14"/>
        <v>-182.214</v>
      </c>
      <c r="AO21" s="65">
        <f t="shared" si="15"/>
        <v>-554.84500000000003</v>
      </c>
      <c r="AP21" s="67">
        <f t="shared" si="16"/>
        <v>419.44399999999996</v>
      </c>
      <c r="AQ21" s="67">
        <f t="shared" si="5"/>
        <v>1308.2449999999999</v>
      </c>
      <c r="AR21" s="57">
        <f t="shared" si="17"/>
        <v>313.85999999999996</v>
      </c>
      <c r="AS21" s="57">
        <f t="shared" si="18"/>
        <v>998.69999999999993</v>
      </c>
      <c r="AT21" s="140">
        <f t="shared" si="19"/>
        <v>-105.584</v>
      </c>
      <c r="AU21" s="140">
        <f t="shared" si="20"/>
        <v>-309.54499999999996</v>
      </c>
      <c r="AV21" s="67">
        <v>217.98</v>
      </c>
      <c r="AW21" s="67">
        <v>721.42660000000001</v>
      </c>
      <c r="AX21" s="57">
        <v>200.36</v>
      </c>
      <c r="AY21" s="57">
        <v>663.1</v>
      </c>
      <c r="AZ21" s="140">
        <f t="shared" si="21"/>
        <v>-17.619999999999976</v>
      </c>
      <c r="BA21" s="140">
        <f t="shared" si="22"/>
        <v>-58.326599999999985</v>
      </c>
      <c r="BB21" s="67">
        <f t="shared" si="6"/>
        <v>637.42899999999997</v>
      </c>
      <c r="BC21" s="67">
        <f t="shared" si="7"/>
        <v>2029.6715999999999</v>
      </c>
      <c r="BD21" s="57">
        <v>514.22</v>
      </c>
      <c r="BE21" s="57">
        <v>1661.8</v>
      </c>
      <c r="BF21" s="140">
        <f t="shared" si="23"/>
        <v>-123.20899999999995</v>
      </c>
      <c r="BG21" s="241">
        <f t="shared" si="24"/>
        <v>-367.87159999999994</v>
      </c>
      <c r="BH21" s="348">
        <v>377.12</v>
      </c>
      <c r="BI21" s="216">
        <v>288.49</v>
      </c>
    </row>
    <row r="22" spans="1:61" s="36" customFormat="1" ht="15.75" thickBot="1" x14ac:dyDescent="0.3">
      <c r="A22" s="35" t="s">
        <v>92</v>
      </c>
      <c r="B22" s="60">
        <f t="shared" ref="B22" si="28">SUM(B7:B21)</f>
        <v>2636.6399999999994</v>
      </c>
      <c r="C22" s="60">
        <f t="shared" ref="C22" si="29">SUM(C7:C21)</f>
        <v>5577.2</v>
      </c>
      <c r="D22" s="60">
        <f t="shared" ref="D22" si="30">SUM(D7:D21)</f>
        <v>2234.9659999999999</v>
      </c>
      <c r="E22" s="60">
        <f t="shared" ref="E22" si="31">SUM(E7:E21)</f>
        <v>4736.7</v>
      </c>
      <c r="F22" s="60">
        <f t="shared" ref="F22" si="32">SUM(F7:F21)</f>
        <v>401.67399999999998</v>
      </c>
      <c r="G22" s="60">
        <f t="shared" ref="G22" si="33">SUM(G7:G21)</f>
        <v>840.50000000000011</v>
      </c>
      <c r="H22" s="60">
        <f t="shared" ref="H22" si="34">SUM(H7:H21)</f>
        <v>2239.5300000000007</v>
      </c>
      <c r="I22" s="60">
        <f t="shared" ref="I22" si="35">SUM(I7:I21)</f>
        <v>4387.6499999999996</v>
      </c>
      <c r="J22" s="60">
        <f t="shared" ref="J22" si="36">SUM(J7:J21)</f>
        <v>4.5639999999999787</v>
      </c>
      <c r="K22" s="60">
        <f t="shared" ref="K22" si="37">SUM(K7:K21)</f>
        <v>-349.0499999999999</v>
      </c>
      <c r="L22" s="60">
        <f t="shared" ref="L22" si="38">SUM(L7:L21)</f>
        <v>571.30999999999995</v>
      </c>
      <c r="M22" s="60">
        <f t="shared" ref="M22" si="39">SUM(M7:M21)</f>
        <v>1091.5</v>
      </c>
      <c r="N22" s="60">
        <f t="shared" ref="N22" si="40">SUM(N7:N21)</f>
        <v>600.37600000000009</v>
      </c>
      <c r="O22" s="60">
        <f t="shared" ref="O22" si="41">SUM(O7:O21)</f>
        <v>1267.3499999999999</v>
      </c>
      <c r="P22" s="60">
        <f t="shared" ref="P22" si="42">SUM(P7:P21)</f>
        <v>-29.065999999999988</v>
      </c>
      <c r="Q22" s="60">
        <f t="shared" ref="Q22" si="43">SUM(Q7:Q21)</f>
        <v>-175.85000000000002</v>
      </c>
      <c r="R22" s="60">
        <f t="shared" ref="R22" si="44">SUM(R7:R21)</f>
        <v>614.13</v>
      </c>
      <c r="S22" s="60">
        <f t="shared" ref="S22" si="45">SUM(S7:S21)</f>
        <v>1246.06</v>
      </c>
      <c r="T22" s="60">
        <f t="shared" ref="T22" si="46">SUM(T7:T21)</f>
        <v>13.754000000000023</v>
      </c>
      <c r="U22" s="60">
        <f t="shared" ref="U22" si="47">SUM(U7:U21)</f>
        <v>-21.290000000000003</v>
      </c>
      <c r="V22" s="60">
        <f t="shared" ref="V22" si="48">SUM(V7:V21)</f>
        <v>3207.9500000000003</v>
      </c>
      <c r="W22" s="60">
        <f t="shared" ref="W22" si="49">SUM(W7:W21)</f>
        <v>6668.6999999999989</v>
      </c>
      <c r="X22" s="60">
        <f t="shared" ref="X22" si="50">SUM(X7:X21)</f>
        <v>2835.3199999999997</v>
      </c>
      <c r="Y22" s="60">
        <f t="shared" ref="Y22" si="51">SUM(Y7:Y21)</f>
        <v>6004.05</v>
      </c>
      <c r="Z22" s="60">
        <f t="shared" ref="Z22" si="52">SUM(Z7:Z21)</f>
        <v>372.62999999999988</v>
      </c>
      <c r="AA22" s="60">
        <f t="shared" ref="AA22" si="53">SUM(AA7:AA21)</f>
        <v>664.64999999999964</v>
      </c>
      <c r="AB22" s="60">
        <f t="shared" ref="AB22" si="54">SUM(AB7:AB21)</f>
        <v>2853.66</v>
      </c>
      <c r="AC22" s="60">
        <f t="shared" ref="AC22" si="55">SUM(AC7:AC21)</f>
        <v>5633.71</v>
      </c>
      <c r="AD22" s="60">
        <f t="shared" ref="AD22" si="56">SUM(AD7:AD21)</f>
        <v>18.340000000000003</v>
      </c>
      <c r="AE22" s="60">
        <f t="shared" ref="AE22:AG22" si="57">SUM(AE7:AE21)</f>
        <v>-370.34000000000009</v>
      </c>
      <c r="AF22" s="60">
        <f t="shared" si="57"/>
        <v>148.08999999999997</v>
      </c>
      <c r="AG22" s="60">
        <f t="shared" si="57"/>
        <v>326.60000000000008</v>
      </c>
      <c r="AH22" s="60">
        <f>SUM(AH7:AH21)</f>
        <v>759.923</v>
      </c>
      <c r="AI22" s="60">
        <f t="shared" ref="AI22:AQ22" si="58">SUM(AI7:AI21)</f>
        <v>1731.0350000000003</v>
      </c>
      <c r="AJ22" s="60">
        <f t="shared" si="58"/>
        <v>-611.83300000000008</v>
      </c>
      <c r="AK22" s="60">
        <f t="shared" si="58"/>
        <v>-1404.4349999999999</v>
      </c>
      <c r="AL22" s="60">
        <f t="shared" si="58"/>
        <v>127.07</v>
      </c>
      <c r="AM22" s="60">
        <f t="shared" si="58"/>
        <v>271.55</v>
      </c>
      <c r="AN22" s="60">
        <f t="shared" si="58"/>
        <v>-632.85299999999995</v>
      </c>
      <c r="AO22" s="60">
        <f t="shared" si="58"/>
        <v>-1459.4850000000001</v>
      </c>
      <c r="AP22" s="60">
        <f t="shared" si="58"/>
        <v>3595.2430000000004</v>
      </c>
      <c r="AQ22" s="60">
        <f t="shared" si="58"/>
        <v>7735.085</v>
      </c>
      <c r="AR22" s="60">
        <f t="shared" ref="AR22" si="59">SUM(AR7:AR21)</f>
        <v>3356.0400000000004</v>
      </c>
      <c r="AS22" s="60">
        <f t="shared" ref="AS22" si="60">SUM(AS7:AS21)</f>
        <v>6995.2999999999993</v>
      </c>
      <c r="AT22" s="60">
        <f t="shared" ref="AT22" si="61">SUM(AT7:AT21)</f>
        <v>-239.20300000000012</v>
      </c>
      <c r="AU22" s="60">
        <f t="shared" ref="AU22:AZ22" si="62">SUM(AU7:AU21)</f>
        <v>-739.78500000000031</v>
      </c>
      <c r="AV22" s="60">
        <f t="shared" si="62"/>
        <v>1931.64</v>
      </c>
      <c r="AW22" s="60">
        <f t="shared" si="62"/>
        <v>4410.4012499999999</v>
      </c>
      <c r="AX22" s="60">
        <f t="shared" si="62"/>
        <v>2135.0299999999997</v>
      </c>
      <c r="AY22" s="60">
        <f t="shared" si="62"/>
        <v>4596.8</v>
      </c>
      <c r="AZ22" s="60">
        <f t="shared" si="62"/>
        <v>203.39000000000001</v>
      </c>
      <c r="BA22" s="60">
        <f t="shared" ref="BA22:BF22" si="63">SUM(BA7:BA21)</f>
        <v>186.39875000000018</v>
      </c>
      <c r="BB22" s="60">
        <f t="shared" si="63"/>
        <v>5526.9050000000007</v>
      </c>
      <c r="BC22" s="60">
        <f t="shared" si="63"/>
        <v>12145.48625</v>
      </c>
      <c r="BD22" s="60">
        <f t="shared" si="63"/>
        <v>5498.94</v>
      </c>
      <c r="BE22" s="60">
        <f t="shared" si="63"/>
        <v>11834.7</v>
      </c>
      <c r="BF22" s="60">
        <f t="shared" si="63"/>
        <v>-27.964999999999918</v>
      </c>
      <c r="BG22" s="242">
        <f>SUM(BG7:BG21)</f>
        <v>-310.78624999999977</v>
      </c>
      <c r="BH22" s="349">
        <f>SUM(BH7:BH21)</f>
        <v>4916.8499999999995</v>
      </c>
      <c r="BI22" s="217">
        <v>4174.16</v>
      </c>
    </row>
    <row r="23" spans="1:61" ht="15.75" thickBot="1" x14ac:dyDescent="0.3">
      <c r="A23" s="29"/>
      <c r="B23" s="3"/>
      <c r="C23" s="3"/>
      <c r="D23" s="44"/>
      <c r="E23" s="48"/>
      <c r="F23" s="5"/>
      <c r="G23" s="52"/>
      <c r="H23" s="6"/>
      <c r="I23" s="6"/>
      <c r="J23" s="40"/>
      <c r="K23" s="40"/>
      <c r="L23" s="3"/>
      <c r="M23" s="3"/>
      <c r="N23" s="4"/>
      <c r="O23" s="48"/>
      <c r="P23" s="5"/>
      <c r="Q23" s="5"/>
      <c r="R23" s="6"/>
      <c r="S23" s="6"/>
      <c r="T23" s="7"/>
      <c r="U23" s="7"/>
      <c r="V23" s="3"/>
      <c r="W23" s="3"/>
      <c r="X23" s="8"/>
      <c r="Y23" s="8"/>
      <c r="Z23" s="5"/>
      <c r="AA23" s="5"/>
      <c r="AB23" s="11"/>
      <c r="AC23" s="11"/>
      <c r="AD23" s="12"/>
      <c r="AE23" s="12"/>
      <c r="AF23" s="57"/>
      <c r="AG23" s="57"/>
      <c r="AH23" s="58"/>
      <c r="AI23" s="59"/>
      <c r="AJ23" s="5"/>
      <c r="AK23" s="52"/>
      <c r="AL23" s="6"/>
      <c r="AM23" s="6"/>
      <c r="AN23" s="12"/>
      <c r="AO23" s="65"/>
      <c r="AP23" s="67"/>
      <c r="AQ23" s="59"/>
      <c r="AR23" s="57"/>
      <c r="AS23" s="57"/>
      <c r="AT23" s="5"/>
      <c r="AU23" s="52"/>
      <c r="AV23" s="67"/>
      <c r="AW23" s="59"/>
      <c r="AX23" s="57"/>
      <c r="AY23" s="57"/>
      <c r="AZ23" s="5"/>
      <c r="BA23" s="52"/>
      <c r="BB23" s="67"/>
      <c r="BC23" s="59"/>
      <c r="BD23" s="57"/>
      <c r="BE23" s="57"/>
      <c r="BF23" s="5"/>
      <c r="BG23" s="240"/>
      <c r="BH23" s="347"/>
      <c r="BI23" s="216"/>
    </row>
    <row r="24" spans="1:61" ht="15.75" thickBot="1" x14ac:dyDescent="0.3">
      <c r="A24" s="29"/>
      <c r="B24" s="15"/>
      <c r="C24" s="15"/>
      <c r="D24" s="45"/>
      <c r="E24" s="50"/>
      <c r="F24" s="17"/>
      <c r="G24" s="53"/>
      <c r="H24" s="18"/>
      <c r="I24" s="18"/>
      <c r="J24" s="42"/>
      <c r="K24" s="42"/>
      <c r="L24" s="15"/>
      <c r="M24" s="15"/>
      <c r="N24" s="16"/>
      <c r="O24" s="50"/>
      <c r="P24" s="17"/>
      <c r="Q24" s="17"/>
      <c r="R24" s="18"/>
      <c r="S24" s="18"/>
      <c r="T24" s="19"/>
      <c r="U24" s="19"/>
      <c r="V24" s="15"/>
      <c r="W24" s="15"/>
      <c r="X24" s="20"/>
      <c r="Y24" s="20"/>
      <c r="Z24" s="17"/>
      <c r="AA24" s="17"/>
      <c r="AB24" s="11"/>
      <c r="AC24" s="11"/>
      <c r="AD24" s="12"/>
      <c r="AE24" s="12"/>
      <c r="AF24" s="57"/>
      <c r="AG24" s="57"/>
      <c r="AH24" s="58"/>
      <c r="AI24" s="59"/>
      <c r="AJ24" s="17"/>
      <c r="AK24" s="53"/>
      <c r="AL24" s="18"/>
      <c r="AM24" s="18"/>
      <c r="AN24" s="12"/>
      <c r="AO24" s="65"/>
      <c r="AP24" s="67"/>
      <c r="AQ24" s="59"/>
      <c r="AR24" s="57"/>
      <c r="AS24" s="57"/>
      <c r="AT24" s="17"/>
      <c r="AU24" s="53"/>
      <c r="AV24" s="67"/>
      <c r="AW24" s="59"/>
      <c r="AX24" s="57"/>
      <c r="AY24" s="57"/>
      <c r="AZ24" s="17"/>
      <c r="BA24" s="53"/>
      <c r="BB24" s="67"/>
      <c r="BC24" s="59"/>
      <c r="BD24" s="57"/>
      <c r="BE24" s="57"/>
      <c r="BF24" s="17"/>
      <c r="BG24" s="243"/>
      <c r="BH24" s="350"/>
      <c r="BI24" s="216"/>
    </row>
    <row r="25" spans="1:61" ht="15.75" thickBot="1" x14ac:dyDescent="0.3">
      <c r="A25" s="30" t="s">
        <v>55</v>
      </c>
      <c r="B25" s="3"/>
      <c r="C25" s="3"/>
      <c r="D25" s="44"/>
      <c r="E25" s="48"/>
      <c r="F25" s="5"/>
      <c r="G25" s="52"/>
      <c r="H25" s="6"/>
      <c r="I25" s="6"/>
      <c r="J25" s="40"/>
      <c r="K25" s="40"/>
      <c r="L25" s="3"/>
      <c r="M25" s="3"/>
      <c r="N25" s="4"/>
      <c r="O25" s="48"/>
      <c r="P25" s="5"/>
      <c r="Q25" s="5"/>
      <c r="R25" s="6"/>
      <c r="S25" s="6"/>
      <c r="T25" s="7"/>
      <c r="U25" s="7"/>
      <c r="V25" s="3"/>
      <c r="W25" s="3"/>
      <c r="X25" s="8"/>
      <c r="Y25" s="8"/>
      <c r="Z25" s="5"/>
      <c r="AA25" s="5"/>
      <c r="AB25" s="11"/>
      <c r="AC25" s="11"/>
      <c r="AD25" s="12"/>
      <c r="AE25" s="12"/>
      <c r="AF25" s="57"/>
      <c r="AG25" s="57"/>
      <c r="AH25" s="58"/>
      <c r="AI25" s="59"/>
      <c r="AJ25" s="5"/>
      <c r="AK25" s="52"/>
      <c r="AL25" s="6"/>
      <c r="AM25" s="6"/>
      <c r="AN25" s="12"/>
      <c r="AO25" s="65"/>
      <c r="AP25" s="67"/>
      <c r="AQ25" s="59"/>
      <c r="AR25" s="57"/>
      <c r="AS25" s="57"/>
      <c r="AT25" s="5"/>
      <c r="AU25" s="52"/>
      <c r="AV25" s="67"/>
      <c r="AW25" s="59"/>
      <c r="AX25" s="57"/>
      <c r="AY25" s="57"/>
      <c r="AZ25" s="5"/>
      <c r="BA25" s="52"/>
      <c r="BB25" s="67"/>
      <c r="BC25" s="59"/>
      <c r="BD25" s="57"/>
      <c r="BE25" s="57"/>
      <c r="BF25" s="5"/>
      <c r="BG25" s="240"/>
      <c r="BH25" s="347"/>
      <c r="BI25" s="216"/>
    </row>
    <row r="26" spans="1:61" ht="15.75" thickBot="1" x14ac:dyDescent="0.3">
      <c r="A26" s="29" t="s">
        <v>93</v>
      </c>
      <c r="B26" s="3">
        <v>211.69</v>
      </c>
      <c r="C26" s="3">
        <v>343.9</v>
      </c>
      <c r="D26" s="44">
        <f>46.32+42.41+29.289+6.77+5.96+5.43</f>
        <v>136.179</v>
      </c>
      <c r="E26" s="48">
        <f>76.018+69.601+48.068+11.11+9.781+8.911</f>
        <v>223.48900000000003</v>
      </c>
      <c r="F26" s="5">
        <f t="shared" ref="F26:G35" si="64">B26-D26</f>
        <v>75.510999999999996</v>
      </c>
      <c r="G26" s="52">
        <f t="shared" si="64"/>
        <v>120.41099999999994</v>
      </c>
      <c r="H26" s="6">
        <v>141.47999999999999</v>
      </c>
      <c r="I26" s="6">
        <v>218.9</v>
      </c>
      <c r="J26" s="40">
        <f t="shared" ref="J26:J35" si="65">H26-D26</f>
        <v>5.3009999999999877</v>
      </c>
      <c r="K26" s="40">
        <f t="shared" ref="K26:K35" si="66">I26-E26</f>
        <v>-4.5890000000000271</v>
      </c>
      <c r="L26" s="3">
        <v>53.77</v>
      </c>
      <c r="M26" s="3">
        <f>34.529+7.795+5.547+7.795</f>
        <v>55.666000000000004</v>
      </c>
      <c r="N26" s="4">
        <f>21.04+4.75+3.38+4.75</f>
        <v>33.92</v>
      </c>
      <c r="O26" s="48">
        <v>55.66</v>
      </c>
      <c r="P26" s="5">
        <f t="shared" ref="P26:Q35" si="67">L26-N26</f>
        <v>19.850000000000001</v>
      </c>
      <c r="Q26" s="5">
        <f t="shared" si="67"/>
        <v>6.0000000000073328E-3</v>
      </c>
      <c r="R26" s="6">
        <v>32.72</v>
      </c>
      <c r="S26" s="6">
        <v>50.61</v>
      </c>
      <c r="T26" s="7">
        <f t="shared" ref="T26:U36" si="68">R26-N26</f>
        <v>-1.2000000000000028</v>
      </c>
      <c r="U26" s="7">
        <f t="shared" si="68"/>
        <v>-5.0499999999999972</v>
      </c>
      <c r="V26" s="3">
        <f t="shared" ref="V26:V35" si="69">B26+L26</f>
        <v>265.45999999999998</v>
      </c>
      <c r="W26" s="3">
        <f t="shared" ref="W26:W35" si="70">C26+M26</f>
        <v>399.56599999999997</v>
      </c>
      <c r="X26" s="56">
        <f>N26+D26</f>
        <v>170.09899999999999</v>
      </c>
      <c r="Y26" s="56">
        <f>O26+E26</f>
        <v>279.149</v>
      </c>
      <c r="Z26" s="5">
        <f t="shared" ref="Z26:AA36" si="71">V26-X26</f>
        <v>95.36099999999999</v>
      </c>
      <c r="AA26" s="5">
        <f t="shared" si="71"/>
        <v>120.41699999999997</v>
      </c>
      <c r="AB26" s="11">
        <v>174.2</v>
      </c>
      <c r="AC26" s="11">
        <v>269.51</v>
      </c>
      <c r="AD26" s="12">
        <f t="shared" ref="AD26:AE36" si="72">AB26-X26</f>
        <v>4.1009999999999991</v>
      </c>
      <c r="AE26" s="12">
        <f t="shared" si="72"/>
        <v>-9.63900000000001</v>
      </c>
      <c r="AF26" s="57">
        <v>11.88</v>
      </c>
      <c r="AG26" s="57">
        <v>20.2</v>
      </c>
      <c r="AH26" s="58">
        <f>8.38+1.02</f>
        <v>9.4</v>
      </c>
      <c r="AI26" s="59">
        <f>14.329+1.744</f>
        <v>16.073</v>
      </c>
      <c r="AJ26" s="5">
        <f>AF26-AH26</f>
        <v>2.4800000000000004</v>
      </c>
      <c r="AK26" s="52">
        <f t="shared" ref="AK26:AK36" si="73">AG26-AI26</f>
        <v>4.1269999999999989</v>
      </c>
      <c r="AL26" s="6">
        <v>4.38</v>
      </c>
      <c r="AM26" s="6">
        <v>7.2</v>
      </c>
      <c r="AN26" s="12">
        <f t="shared" ref="AN26:AN35" si="74">AL26-AH26</f>
        <v>-5.0200000000000005</v>
      </c>
      <c r="AO26" s="65">
        <f t="shared" ref="AO26:AO35" si="75">AM26-AI26</f>
        <v>-8.8730000000000011</v>
      </c>
      <c r="AP26" s="67">
        <f>AH26+X26</f>
        <v>179.499</v>
      </c>
      <c r="AQ26" s="67">
        <f t="shared" ref="AQ26:AQ35" si="76">AI26+Y26</f>
        <v>295.22199999999998</v>
      </c>
      <c r="AR26" s="57">
        <f t="shared" ref="AR26:AR35" si="77">V26+AF26</f>
        <v>277.33999999999997</v>
      </c>
      <c r="AS26" s="57">
        <f t="shared" ref="AS26:AS35" si="78">W26+AG26</f>
        <v>419.76599999999996</v>
      </c>
      <c r="AT26" s="140">
        <f t="shared" ref="AT26:AT35" si="79">AR26-AP26</f>
        <v>97.84099999999998</v>
      </c>
      <c r="AU26" s="140">
        <f t="shared" ref="AU26:AU35" si="80">AS26-AQ26</f>
        <v>124.54399999999998</v>
      </c>
      <c r="AV26" s="67">
        <v>107.5</v>
      </c>
      <c r="AW26" s="67">
        <v>183.82499999999999</v>
      </c>
      <c r="AX26" s="57">
        <v>171.91</v>
      </c>
      <c r="AY26" s="57">
        <v>291.89999999999998</v>
      </c>
      <c r="AZ26" s="140">
        <f t="shared" ref="AZ26:AZ35" si="81">AX26-AV26</f>
        <v>64.41</v>
      </c>
      <c r="BA26" s="140">
        <f t="shared" ref="BA26:BA35" si="82">AY26-AW26</f>
        <v>108.07499999999999</v>
      </c>
      <c r="BB26" s="67">
        <f t="shared" ref="BB26:BB35" si="83">D26+N26+AH26+AV26</f>
        <v>286.99900000000002</v>
      </c>
      <c r="BC26" s="67">
        <f t="shared" ref="BC26:BC35" si="84">E26+O26+AI26+AW26</f>
        <v>479.04699999999997</v>
      </c>
      <c r="BD26" s="57">
        <v>441.31</v>
      </c>
      <c r="BE26" s="57">
        <v>730.5</v>
      </c>
      <c r="BF26" s="140">
        <f t="shared" ref="BF26:BF35" si="85">BD26-BB26</f>
        <v>154.31099999999998</v>
      </c>
      <c r="BG26" s="241">
        <f t="shared" ref="BG26:BG35" si="86">BE26-BC26</f>
        <v>251.45300000000003</v>
      </c>
      <c r="BH26" s="348">
        <v>284.73</v>
      </c>
      <c r="BI26" s="216">
        <v>398.99</v>
      </c>
    </row>
    <row r="27" spans="1:61" ht="15.75" thickBot="1" x14ac:dyDescent="0.3">
      <c r="A27" s="29" t="s">
        <v>59</v>
      </c>
      <c r="B27" s="3">
        <v>14.58</v>
      </c>
      <c r="C27" s="3">
        <v>23.9</v>
      </c>
      <c r="D27" s="44">
        <v>14.58</v>
      </c>
      <c r="E27" s="48">
        <v>23.9</v>
      </c>
      <c r="F27" s="5">
        <f t="shared" si="64"/>
        <v>0</v>
      </c>
      <c r="G27" s="52">
        <f t="shared" si="64"/>
        <v>0</v>
      </c>
      <c r="H27" s="6">
        <v>14.58</v>
      </c>
      <c r="I27" s="6">
        <v>22.55</v>
      </c>
      <c r="J27" s="40">
        <f t="shared" si="65"/>
        <v>0</v>
      </c>
      <c r="K27" s="40">
        <f t="shared" si="66"/>
        <v>-1.3499999999999979</v>
      </c>
      <c r="L27" s="3">
        <v>2.84</v>
      </c>
      <c r="M27" s="3">
        <v>4.7</v>
      </c>
      <c r="N27" s="4">
        <v>2.84</v>
      </c>
      <c r="O27" s="48">
        <v>4.66</v>
      </c>
      <c r="P27" s="5">
        <f t="shared" si="67"/>
        <v>0</v>
      </c>
      <c r="Q27" s="5">
        <f t="shared" si="67"/>
        <v>4.0000000000000036E-2</v>
      </c>
      <c r="R27" s="6">
        <v>2.84</v>
      </c>
      <c r="S27" s="6">
        <v>4.3899999999999997</v>
      </c>
      <c r="T27" s="7">
        <f t="shared" si="68"/>
        <v>0</v>
      </c>
      <c r="U27" s="7">
        <f t="shared" si="68"/>
        <v>-0.27000000000000046</v>
      </c>
      <c r="V27" s="3">
        <f t="shared" si="69"/>
        <v>17.420000000000002</v>
      </c>
      <c r="W27" s="3">
        <f t="shared" si="70"/>
        <v>28.599999999999998</v>
      </c>
      <c r="X27" s="8">
        <v>17.420000000000002</v>
      </c>
      <c r="Y27" s="8">
        <v>28.56</v>
      </c>
      <c r="Z27" s="5">
        <f t="shared" si="71"/>
        <v>0</v>
      </c>
      <c r="AA27" s="5">
        <f t="shared" si="71"/>
        <v>3.9999999999999147E-2</v>
      </c>
      <c r="AB27" s="11">
        <v>17.420000000000002</v>
      </c>
      <c r="AC27" s="11">
        <v>26.94</v>
      </c>
      <c r="AD27" s="12">
        <f t="shared" si="72"/>
        <v>0</v>
      </c>
      <c r="AE27" s="12">
        <f t="shared" si="72"/>
        <v>-1.6199999999999974</v>
      </c>
      <c r="AF27" s="57"/>
      <c r="AG27" s="57"/>
      <c r="AH27" s="58">
        <v>0.65</v>
      </c>
      <c r="AI27" s="59">
        <v>1.1120000000000001</v>
      </c>
      <c r="AJ27" s="5">
        <f t="shared" ref="AJ27:AJ36" si="87">AF27-AH27</f>
        <v>-0.65</v>
      </c>
      <c r="AK27" s="52">
        <f t="shared" si="73"/>
        <v>-1.1120000000000001</v>
      </c>
      <c r="AL27" s="6">
        <v>0.65</v>
      </c>
      <c r="AM27" s="6">
        <v>1.07</v>
      </c>
      <c r="AN27" s="12">
        <f t="shared" si="74"/>
        <v>0</v>
      </c>
      <c r="AO27" s="65">
        <f t="shared" si="75"/>
        <v>-4.2000000000000037E-2</v>
      </c>
      <c r="AP27" s="67">
        <f t="shared" ref="AP27:AP35" si="88">AH27+X27</f>
        <v>18.07</v>
      </c>
      <c r="AQ27" s="67">
        <f t="shared" si="76"/>
        <v>29.671999999999997</v>
      </c>
      <c r="AR27" s="57">
        <f t="shared" si="77"/>
        <v>17.420000000000002</v>
      </c>
      <c r="AS27" s="57">
        <f t="shared" si="78"/>
        <v>28.599999999999998</v>
      </c>
      <c r="AT27" s="140">
        <f t="shared" si="79"/>
        <v>-0.64999999999999858</v>
      </c>
      <c r="AU27" s="140">
        <f t="shared" si="80"/>
        <v>-1.0719999999999992</v>
      </c>
      <c r="AV27" s="67">
        <v>11.54</v>
      </c>
      <c r="AW27" s="67">
        <v>19.7334</v>
      </c>
      <c r="AX27" s="57">
        <v>11.54</v>
      </c>
      <c r="AY27" s="57">
        <v>13.8</v>
      </c>
      <c r="AZ27" s="140">
        <f t="shared" si="81"/>
        <v>0</v>
      </c>
      <c r="BA27" s="140">
        <f t="shared" si="82"/>
        <v>-5.9333999999999989</v>
      </c>
      <c r="BB27" s="67">
        <f t="shared" si="83"/>
        <v>29.61</v>
      </c>
      <c r="BC27" s="67">
        <f t="shared" si="84"/>
        <v>49.4054</v>
      </c>
      <c r="BD27" s="57">
        <v>29.61</v>
      </c>
      <c r="BE27" s="57">
        <v>43</v>
      </c>
      <c r="BF27" s="140">
        <f t="shared" si="85"/>
        <v>0</v>
      </c>
      <c r="BG27" s="241">
        <f t="shared" si="86"/>
        <v>-6.4054000000000002</v>
      </c>
      <c r="BH27" s="348">
        <v>29.61</v>
      </c>
      <c r="BI27" s="216">
        <v>27.85</v>
      </c>
    </row>
    <row r="28" spans="1:61" ht="15.75" thickBot="1" x14ac:dyDescent="0.3">
      <c r="A28" s="29" t="s">
        <v>58</v>
      </c>
      <c r="B28" s="3">
        <v>15.4</v>
      </c>
      <c r="C28" s="3">
        <v>25.4</v>
      </c>
      <c r="D28" s="44">
        <v>15.47</v>
      </c>
      <c r="E28" s="48">
        <v>25.4</v>
      </c>
      <c r="F28" s="5">
        <f t="shared" si="64"/>
        <v>-7.0000000000000284E-2</v>
      </c>
      <c r="G28" s="52">
        <f t="shared" si="64"/>
        <v>0</v>
      </c>
      <c r="H28" s="6">
        <v>15.47</v>
      </c>
      <c r="I28" s="6">
        <v>23.93</v>
      </c>
      <c r="J28" s="40">
        <f t="shared" si="65"/>
        <v>0</v>
      </c>
      <c r="K28" s="40">
        <f t="shared" si="66"/>
        <v>-1.4699999999999989</v>
      </c>
      <c r="L28" s="3">
        <v>2.92</v>
      </c>
      <c r="M28" s="3">
        <v>4.8</v>
      </c>
      <c r="N28" s="4">
        <v>2.92</v>
      </c>
      <c r="O28" s="48">
        <v>4.79</v>
      </c>
      <c r="P28" s="5">
        <f t="shared" si="67"/>
        <v>0</v>
      </c>
      <c r="Q28" s="5">
        <f t="shared" si="67"/>
        <v>9.9999999999997868E-3</v>
      </c>
      <c r="R28" s="6">
        <v>2.92</v>
      </c>
      <c r="S28" s="6">
        <v>4.5199999999999996</v>
      </c>
      <c r="T28" s="7">
        <f t="shared" si="68"/>
        <v>0</v>
      </c>
      <c r="U28" s="7">
        <f t="shared" si="68"/>
        <v>-0.27000000000000046</v>
      </c>
      <c r="V28" s="3">
        <f t="shared" si="69"/>
        <v>18.32</v>
      </c>
      <c r="W28" s="3">
        <f t="shared" si="70"/>
        <v>30.2</v>
      </c>
      <c r="X28" s="8">
        <v>18.37</v>
      </c>
      <c r="Y28" s="8">
        <v>30.19</v>
      </c>
      <c r="Z28" s="5">
        <f t="shared" si="71"/>
        <v>-5.0000000000000711E-2</v>
      </c>
      <c r="AA28" s="5">
        <f t="shared" si="71"/>
        <v>9.9999999999980105E-3</v>
      </c>
      <c r="AB28" s="11">
        <v>18.39</v>
      </c>
      <c r="AC28" s="11">
        <v>28.45</v>
      </c>
      <c r="AD28" s="12">
        <f t="shared" si="72"/>
        <v>1.9999999999999574E-2</v>
      </c>
      <c r="AE28" s="12">
        <f t="shared" si="72"/>
        <v>-1.740000000000002</v>
      </c>
      <c r="AF28" s="57"/>
      <c r="AG28" s="57"/>
      <c r="AH28" s="58">
        <v>0.65</v>
      </c>
      <c r="AI28" s="59">
        <v>1.1120000000000001</v>
      </c>
      <c r="AJ28" s="5">
        <f t="shared" si="87"/>
        <v>-0.65</v>
      </c>
      <c r="AK28" s="52">
        <f t="shared" si="73"/>
        <v>-1.1120000000000001</v>
      </c>
      <c r="AL28" s="6">
        <v>0.65</v>
      </c>
      <c r="AM28" s="6">
        <v>1.07</v>
      </c>
      <c r="AN28" s="12">
        <f t="shared" si="74"/>
        <v>0</v>
      </c>
      <c r="AO28" s="65">
        <f t="shared" si="75"/>
        <v>-4.2000000000000037E-2</v>
      </c>
      <c r="AP28" s="67">
        <f t="shared" si="88"/>
        <v>19.02</v>
      </c>
      <c r="AQ28" s="67">
        <f t="shared" si="76"/>
        <v>31.302</v>
      </c>
      <c r="AR28" s="57">
        <f t="shared" si="77"/>
        <v>18.32</v>
      </c>
      <c r="AS28" s="57">
        <f t="shared" si="78"/>
        <v>30.2</v>
      </c>
      <c r="AT28" s="140">
        <f t="shared" si="79"/>
        <v>-0.69999999999999929</v>
      </c>
      <c r="AU28" s="140">
        <f t="shared" si="80"/>
        <v>-1.1020000000000003</v>
      </c>
      <c r="AV28" s="67">
        <v>12.15</v>
      </c>
      <c r="AW28" s="67">
        <v>20.793600000000001</v>
      </c>
      <c r="AX28" s="57">
        <v>12.23</v>
      </c>
      <c r="AY28" s="57">
        <v>20.8</v>
      </c>
      <c r="AZ28" s="140">
        <f t="shared" si="81"/>
        <v>8.0000000000000071E-2</v>
      </c>
      <c r="BA28" s="140">
        <f t="shared" si="82"/>
        <v>6.3999999999992951E-3</v>
      </c>
      <c r="BB28" s="67">
        <f t="shared" si="83"/>
        <v>31.189999999999998</v>
      </c>
      <c r="BC28" s="67">
        <f t="shared" si="84"/>
        <v>52.095600000000005</v>
      </c>
      <c r="BD28" s="57">
        <v>31.2</v>
      </c>
      <c r="BE28" s="57">
        <v>52.1</v>
      </c>
      <c r="BF28" s="140">
        <f t="shared" si="85"/>
        <v>1.0000000000001563E-2</v>
      </c>
      <c r="BG28" s="241">
        <f t="shared" si="86"/>
        <v>4.3999999999968509E-3</v>
      </c>
      <c r="BH28" s="348">
        <v>31.2</v>
      </c>
      <c r="BI28" s="216">
        <v>22.64</v>
      </c>
    </row>
    <row r="29" spans="1:61" ht="15.75" thickBot="1" x14ac:dyDescent="0.3">
      <c r="A29" s="29" t="s">
        <v>64</v>
      </c>
      <c r="B29" s="3">
        <v>4.7</v>
      </c>
      <c r="C29" s="3">
        <v>7.7</v>
      </c>
      <c r="D29" s="44">
        <v>4.7</v>
      </c>
      <c r="E29" s="48">
        <v>7.7</v>
      </c>
      <c r="F29" s="5">
        <f t="shared" si="64"/>
        <v>0</v>
      </c>
      <c r="G29" s="52">
        <f t="shared" si="64"/>
        <v>0</v>
      </c>
      <c r="H29" s="6">
        <v>4.7</v>
      </c>
      <c r="I29" s="6">
        <v>7.27</v>
      </c>
      <c r="J29" s="40">
        <f t="shared" si="65"/>
        <v>0</v>
      </c>
      <c r="K29" s="40">
        <f t="shared" si="66"/>
        <v>-0.4300000000000006</v>
      </c>
      <c r="L29" s="3">
        <v>1.02</v>
      </c>
      <c r="M29" s="3">
        <v>1.7</v>
      </c>
      <c r="N29" s="4">
        <v>1.02</v>
      </c>
      <c r="O29" s="48">
        <v>1.67</v>
      </c>
      <c r="P29" s="5">
        <f t="shared" si="67"/>
        <v>0</v>
      </c>
      <c r="Q29" s="5">
        <f t="shared" si="67"/>
        <v>3.0000000000000027E-2</v>
      </c>
      <c r="R29" s="6">
        <v>1.02</v>
      </c>
      <c r="S29" s="6">
        <v>1.58</v>
      </c>
      <c r="T29" s="7">
        <f t="shared" si="68"/>
        <v>0</v>
      </c>
      <c r="U29" s="7">
        <f t="shared" si="68"/>
        <v>-8.9999999999999858E-2</v>
      </c>
      <c r="V29" s="3">
        <f t="shared" si="69"/>
        <v>5.7200000000000006</v>
      </c>
      <c r="W29" s="3">
        <f t="shared" si="70"/>
        <v>9.4</v>
      </c>
      <c r="X29" s="8">
        <v>5.72</v>
      </c>
      <c r="Y29" s="8">
        <v>9.3699999999999992</v>
      </c>
      <c r="Z29" s="5">
        <f t="shared" si="71"/>
        <v>0</v>
      </c>
      <c r="AA29" s="5">
        <f t="shared" si="71"/>
        <v>3.0000000000001137E-2</v>
      </c>
      <c r="AB29" s="11">
        <v>5.72</v>
      </c>
      <c r="AC29" s="11">
        <v>8.85</v>
      </c>
      <c r="AD29" s="12">
        <f t="shared" si="72"/>
        <v>0</v>
      </c>
      <c r="AE29" s="12">
        <f t="shared" si="72"/>
        <v>-0.51999999999999957</v>
      </c>
      <c r="AF29" s="57"/>
      <c r="AG29" s="57"/>
      <c r="AH29" s="58">
        <v>0.26</v>
      </c>
      <c r="AI29" s="59">
        <v>0.44500000000000001</v>
      </c>
      <c r="AJ29" s="5">
        <f t="shared" si="87"/>
        <v>-0.26</v>
      </c>
      <c r="AK29" s="52">
        <f t="shared" si="73"/>
        <v>-0.44500000000000001</v>
      </c>
      <c r="AL29" s="6">
        <v>0.26</v>
      </c>
      <c r="AM29" s="6">
        <v>0.43</v>
      </c>
      <c r="AN29" s="12">
        <f t="shared" si="74"/>
        <v>0</v>
      </c>
      <c r="AO29" s="65">
        <f t="shared" si="75"/>
        <v>-1.5000000000000013E-2</v>
      </c>
      <c r="AP29" s="67">
        <f t="shared" si="88"/>
        <v>5.9799999999999995</v>
      </c>
      <c r="AQ29" s="67">
        <f t="shared" si="76"/>
        <v>9.8149999999999995</v>
      </c>
      <c r="AR29" s="57">
        <f t="shared" si="77"/>
        <v>5.7200000000000006</v>
      </c>
      <c r="AS29" s="57">
        <f t="shared" si="78"/>
        <v>9.4</v>
      </c>
      <c r="AT29" s="140">
        <f t="shared" si="79"/>
        <v>-0.2599999999999989</v>
      </c>
      <c r="AU29" s="140">
        <f t="shared" si="80"/>
        <v>-0.41499999999999915</v>
      </c>
      <c r="AV29" s="67">
        <v>2.8570000000000002</v>
      </c>
      <c r="AW29" s="67">
        <v>4.8854699999999998</v>
      </c>
      <c r="AX29" s="57">
        <v>3.82</v>
      </c>
      <c r="AY29" s="57">
        <v>6.6</v>
      </c>
      <c r="AZ29" s="140">
        <f t="shared" si="81"/>
        <v>0.96299999999999963</v>
      </c>
      <c r="BA29" s="140">
        <f t="shared" si="82"/>
        <v>1.7145299999999999</v>
      </c>
      <c r="BB29" s="67">
        <f t="shared" si="83"/>
        <v>8.8369999999999997</v>
      </c>
      <c r="BC29" s="67">
        <f t="shared" si="84"/>
        <v>14.700470000000001</v>
      </c>
      <c r="BD29" s="57">
        <v>9.8000000000000007</v>
      </c>
      <c r="BE29" s="57">
        <v>16.5</v>
      </c>
      <c r="BF29" s="140">
        <f t="shared" si="85"/>
        <v>0.96300000000000097</v>
      </c>
      <c r="BG29" s="241">
        <f t="shared" si="86"/>
        <v>1.799529999999999</v>
      </c>
      <c r="BH29" s="348">
        <v>8.7799999999999994</v>
      </c>
      <c r="BI29" s="216">
        <v>3.74</v>
      </c>
    </row>
    <row r="30" spans="1:61" ht="15.75" thickBot="1" x14ac:dyDescent="0.3">
      <c r="A30" s="29" t="s">
        <v>60</v>
      </c>
      <c r="B30" s="3">
        <v>6.52</v>
      </c>
      <c r="C30" s="3">
        <v>10.7</v>
      </c>
      <c r="D30" s="44">
        <v>6.52</v>
      </c>
      <c r="E30" s="48">
        <v>10.7</v>
      </c>
      <c r="F30" s="5">
        <f t="shared" si="64"/>
        <v>0</v>
      </c>
      <c r="G30" s="52">
        <f t="shared" si="64"/>
        <v>0</v>
      </c>
      <c r="H30" s="6">
        <v>5.12</v>
      </c>
      <c r="I30" s="6">
        <v>7.71</v>
      </c>
      <c r="J30" s="40">
        <f t="shared" si="65"/>
        <v>-1.3999999999999995</v>
      </c>
      <c r="K30" s="40">
        <f t="shared" si="66"/>
        <v>-2.9899999999999993</v>
      </c>
      <c r="L30" s="3">
        <v>1.41</v>
      </c>
      <c r="M30" s="3">
        <v>2.2999999999999998</v>
      </c>
      <c r="N30" s="4">
        <v>1.41</v>
      </c>
      <c r="O30" s="48">
        <v>2.31</v>
      </c>
      <c r="P30" s="5">
        <f t="shared" si="67"/>
        <v>0</v>
      </c>
      <c r="Q30" s="5">
        <f t="shared" si="67"/>
        <v>-1.0000000000000231E-2</v>
      </c>
      <c r="R30" s="6">
        <v>1.43</v>
      </c>
      <c r="S30" s="6">
        <v>2.2200000000000002</v>
      </c>
      <c r="T30" s="7">
        <f t="shared" si="68"/>
        <v>2.0000000000000018E-2</v>
      </c>
      <c r="U30" s="7">
        <f t="shared" si="68"/>
        <v>-8.9999999999999858E-2</v>
      </c>
      <c r="V30" s="3">
        <f t="shared" si="69"/>
        <v>7.93</v>
      </c>
      <c r="W30" s="3">
        <f t="shared" si="70"/>
        <v>13</v>
      </c>
      <c r="X30" s="8">
        <v>7.93</v>
      </c>
      <c r="Y30" s="8">
        <v>13.01</v>
      </c>
      <c r="Z30" s="5">
        <f t="shared" si="71"/>
        <v>0</v>
      </c>
      <c r="AA30" s="5">
        <f t="shared" si="71"/>
        <v>-9.9999999999997868E-3</v>
      </c>
      <c r="AB30" s="11">
        <v>6.55</v>
      </c>
      <c r="AC30" s="11">
        <v>9.93</v>
      </c>
      <c r="AD30" s="12">
        <f t="shared" si="72"/>
        <v>-1.38</v>
      </c>
      <c r="AE30" s="12">
        <f t="shared" si="72"/>
        <v>-3.08</v>
      </c>
      <c r="AF30" s="57"/>
      <c r="AG30" s="57"/>
      <c r="AH30" s="58">
        <v>0.37</v>
      </c>
      <c r="AI30" s="59">
        <v>0.63300000000000001</v>
      </c>
      <c r="AJ30" s="5">
        <f t="shared" si="87"/>
        <v>-0.37</v>
      </c>
      <c r="AK30" s="52">
        <f t="shared" si="73"/>
        <v>-0.63300000000000001</v>
      </c>
      <c r="AL30" s="6">
        <v>0.16</v>
      </c>
      <c r="AM30" s="6">
        <v>0.25</v>
      </c>
      <c r="AN30" s="12">
        <f t="shared" si="74"/>
        <v>-0.21</v>
      </c>
      <c r="AO30" s="65">
        <f t="shared" si="75"/>
        <v>-0.38300000000000001</v>
      </c>
      <c r="AP30" s="67">
        <f t="shared" si="88"/>
        <v>8.2999999999999989</v>
      </c>
      <c r="AQ30" s="67">
        <f t="shared" si="76"/>
        <v>13.643000000000001</v>
      </c>
      <c r="AR30" s="57">
        <f t="shared" si="77"/>
        <v>7.93</v>
      </c>
      <c r="AS30" s="57">
        <f t="shared" si="78"/>
        <v>13</v>
      </c>
      <c r="AT30" s="140">
        <f t="shared" si="79"/>
        <v>-0.36999999999999922</v>
      </c>
      <c r="AU30" s="140">
        <f t="shared" si="80"/>
        <v>-0.64300000000000068</v>
      </c>
      <c r="AV30" s="67">
        <v>3.8330000000000002</v>
      </c>
      <c r="AW30" s="67">
        <v>6.55443</v>
      </c>
      <c r="AX30" s="57">
        <v>5.31</v>
      </c>
      <c r="AY30" s="57">
        <v>9.1</v>
      </c>
      <c r="AZ30" s="140">
        <f t="shared" si="81"/>
        <v>1.4769999999999994</v>
      </c>
      <c r="BA30" s="140">
        <f t="shared" si="82"/>
        <v>2.5455699999999997</v>
      </c>
      <c r="BB30" s="67">
        <f t="shared" si="83"/>
        <v>12.132999999999999</v>
      </c>
      <c r="BC30" s="67">
        <f t="shared" si="84"/>
        <v>20.197430000000001</v>
      </c>
      <c r="BD30" s="57">
        <v>13.61</v>
      </c>
      <c r="BE30" s="57">
        <v>22.8</v>
      </c>
      <c r="BF30" s="140">
        <f t="shared" si="85"/>
        <v>1.4770000000000003</v>
      </c>
      <c r="BG30" s="241">
        <f t="shared" si="86"/>
        <v>2.6025700000000001</v>
      </c>
      <c r="BH30" s="348">
        <v>11.34</v>
      </c>
      <c r="BI30" s="216">
        <v>10.49</v>
      </c>
    </row>
    <row r="31" spans="1:61" ht="15.75" thickBot="1" x14ac:dyDescent="0.3">
      <c r="A31" s="29" t="s">
        <v>65</v>
      </c>
      <c r="B31" s="3">
        <v>5.39</v>
      </c>
      <c r="C31" s="3">
        <v>17.100000000000001</v>
      </c>
      <c r="D31" s="44">
        <v>5.39</v>
      </c>
      <c r="E31" s="48">
        <v>17.100000000000001</v>
      </c>
      <c r="F31" s="5">
        <f t="shared" si="64"/>
        <v>0</v>
      </c>
      <c r="G31" s="52">
        <f t="shared" si="64"/>
        <v>0</v>
      </c>
      <c r="H31" s="6">
        <v>3.95</v>
      </c>
      <c r="I31" s="6">
        <v>11.56</v>
      </c>
      <c r="J31" s="40">
        <f t="shared" si="65"/>
        <v>-1.4399999999999995</v>
      </c>
      <c r="K31" s="40">
        <f t="shared" si="66"/>
        <v>-5.5400000000000009</v>
      </c>
      <c r="L31" s="3">
        <v>1.17</v>
      </c>
      <c r="M31" s="3">
        <v>3.7</v>
      </c>
      <c r="N31" s="4">
        <v>1.17</v>
      </c>
      <c r="O31" s="48">
        <v>3.71</v>
      </c>
      <c r="P31" s="5">
        <f t="shared" si="67"/>
        <v>0</v>
      </c>
      <c r="Q31" s="5">
        <f t="shared" si="67"/>
        <v>-9.9999999999997868E-3</v>
      </c>
      <c r="R31" s="6">
        <v>1.07</v>
      </c>
      <c r="S31" s="6">
        <v>3.13</v>
      </c>
      <c r="T31" s="7">
        <f t="shared" si="68"/>
        <v>-9.9999999999999867E-2</v>
      </c>
      <c r="U31" s="7">
        <f t="shared" si="68"/>
        <v>-0.58000000000000007</v>
      </c>
      <c r="V31" s="3">
        <f t="shared" si="69"/>
        <v>6.56</v>
      </c>
      <c r="W31" s="3">
        <f t="shared" si="70"/>
        <v>20.8</v>
      </c>
      <c r="X31" s="8">
        <v>6.56</v>
      </c>
      <c r="Y31" s="8">
        <v>20.81</v>
      </c>
      <c r="Z31" s="5">
        <f t="shared" si="71"/>
        <v>0</v>
      </c>
      <c r="AA31" s="5">
        <f t="shared" si="71"/>
        <v>-9.9999999999980105E-3</v>
      </c>
      <c r="AB31" s="11">
        <v>5.0199999999999996</v>
      </c>
      <c r="AC31" s="11">
        <v>14.69</v>
      </c>
      <c r="AD31" s="12">
        <f t="shared" si="72"/>
        <v>-1.54</v>
      </c>
      <c r="AE31" s="12">
        <f t="shared" si="72"/>
        <v>-6.1199999999999992</v>
      </c>
      <c r="AF31" s="57"/>
      <c r="AG31" s="57"/>
      <c r="AH31" s="58">
        <v>0.3</v>
      </c>
      <c r="AI31" s="59">
        <v>0.99299999999999999</v>
      </c>
      <c r="AJ31" s="5">
        <f t="shared" si="87"/>
        <v>-0.3</v>
      </c>
      <c r="AK31" s="52">
        <f t="shared" si="73"/>
        <v>-0.99299999999999999</v>
      </c>
      <c r="AL31" s="6">
        <v>0.3</v>
      </c>
      <c r="AM31" s="6">
        <v>0.9</v>
      </c>
      <c r="AN31" s="12">
        <f t="shared" si="74"/>
        <v>0</v>
      </c>
      <c r="AO31" s="65">
        <f t="shared" si="75"/>
        <v>-9.2999999999999972E-2</v>
      </c>
      <c r="AP31" s="67">
        <f t="shared" si="88"/>
        <v>6.8599999999999994</v>
      </c>
      <c r="AQ31" s="67">
        <f t="shared" si="76"/>
        <v>21.802999999999997</v>
      </c>
      <c r="AR31" s="57">
        <f t="shared" si="77"/>
        <v>6.56</v>
      </c>
      <c r="AS31" s="57">
        <f t="shared" si="78"/>
        <v>20.8</v>
      </c>
      <c r="AT31" s="140">
        <f t="shared" si="79"/>
        <v>-0.29999999999999982</v>
      </c>
      <c r="AU31" s="140">
        <f t="shared" si="80"/>
        <v>-1.0029999999999966</v>
      </c>
      <c r="AV31" s="67">
        <v>4.3899999999999997</v>
      </c>
      <c r="AW31" s="67">
        <v>14.52915</v>
      </c>
      <c r="AX31" s="57">
        <v>4.3899999999999997</v>
      </c>
      <c r="AY31" s="57">
        <v>14.9</v>
      </c>
      <c r="AZ31" s="140">
        <f t="shared" si="81"/>
        <v>0</v>
      </c>
      <c r="BA31" s="140">
        <f t="shared" si="82"/>
        <v>0.37085000000000079</v>
      </c>
      <c r="BB31" s="67">
        <f t="shared" si="83"/>
        <v>11.25</v>
      </c>
      <c r="BC31" s="67">
        <f t="shared" si="84"/>
        <v>36.332149999999999</v>
      </c>
      <c r="BD31" s="57">
        <v>11.25</v>
      </c>
      <c r="BE31" s="57">
        <v>36.6</v>
      </c>
      <c r="BF31" s="140">
        <f t="shared" si="85"/>
        <v>0</v>
      </c>
      <c r="BG31" s="241">
        <f t="shared" si="86"/>
        <v>0.26785000000000281</v>
      </c>
      <c r="BH31" s="348">
        <v>9.19</v>
      </c>
      <c r="BI31" s="216">
        <v>0</v>
      </c>
    </row>
    <row r="32" spans="1:61" ht="15.75" thickBot="1" x14ac:dyDescent="0.3">
      <c r="A32" s="29" t="s">
        <v>66</v>
      </c>
      <c r="B32" s="3">
        <v>4.21</v>
      </c>
      <c r="C32" s="3">
        <v>13.4</v>
      </c>
      <c r="D32" s="44">
        <v>4.21</v>
      </c>
      <c r="E32" s="48">
        <v>13.3</v>
      </c>
      <c r="F32" s="5">
        <f t="shared" si="64"/>
        <v>0</v>
      </c>
      <c r="G32" s="52">
        <f t="shared" si="64"/>
        <v>9.9999999999999645E-2</v>
      </c>
      <c r="H32" s="6">
        <v>3.46</v>
      </c>
      <c r="I32" s="6">
        <v>9.86</v>
      </c>
      <c r="J32" s="40">
        <f t="shared" si="65"/>
        <v>-0.75</v>
      </c>
      <c r="K32" s="40">
        <f t="shared" si="66"/>
        <v>-3.4400000000000013</v>
      </c>
      <c r="L32" s="3">
        <v>0.91</v>
      </c>
      <c r="M32" s="3">
        <v>2.9</v>
      </c>
      <c r="N32" s="4">
        <v>0.91</v>
      </c>
      <c r="O32" s="48">
        <v>2.89</v>
      </c>
      <c r="P32" s="5">
        <f t="shared" si="67"/>
        <v>0</v>
      </c>
      <c r="Q32" s="5">
        <f t="shared" si="67"/>
        <v>9.9999999999997868E-3</v>
      </c>
      <c r="R32" s="6">
        <v>1.01</v>
      </c>
      <c r="S32" s="6">
        <v>2.97</v>
      </c>
      <c r="T32" s="7">
        <f t="shared" si="68"/>
        <v>9.9999999999999978E-2</v>
      </c>
      <c r="U32" s="7">
        <f t="shared" si="68"/>
        <v>8.0000000000000071E-2</v>
      </c>
      <c r="V32" s="3">
        <f t="shared" si="69"/>
        <v>5.12</v>
      </c>
      <c r="W32" s="3">
        <f t="shared" si="70"/>
        <v>16.3</v>
      </c>
      <c r="X32" s="8">
        <v>5.12</v>
      </c>
      <c r="Y32" s="8">
        <v>16.190000000000001</v>
      </c>
      <c r="Z32" s="5">
        <f t="shared" si="71"/>
        <v>0</v>
      </c>
      <c r="AA32" s="5">
        <f t="shared" si="71"/>
        <v>0.10999999999999943</v>
      </c>
      <c r="AB32" s="11">
        <v>4.47</v>
      </c>
      <c r="AC32" s="11">
        <v>12.83</v>
      </c>
      <c r="AD32" s="12">
        <f t="shared" si="72"/>
        <v>-0.65000000000000036</v>
      </c>
      <c r="AE32" s="12">
        <f t="shared" si="72"/>
        <v>-3.3600000000000012</v>
      </c>
      <c r="AF32" s="57"/>
      <c r="AG32" s="57"/>
      <c r="AH32" s="58">
        <v>0.24</v>
      </c>
      <c r="AI32" s="59">
        <v>0.79400000000000004</v>
      </c>
      <c r="AJ32" s="5">
        <f t="shared" si="87"/>
        <v>-0.24</v>
      </c>
      <c r="AK32" s="52">
        <f t="shared" si="73"/>
        <v>-0.79400000000000004</v>
      </c>
      <c r="AL32" s="6">
        <v>0.24</v>
      </c>
      <c r="AM32" s="6">
        <v>0.76</v>
      </c>
      <c r="AN32" s="12">
        <f t="shared" si="74"/>
        <v>0</v>
      </c>
      <c r="AO32" s="65">
        <f t="shared" si="75"/>
        <v>-3.400000000000003E-2</v>
      </c>
      <c r="AP32" s="67">
        <f t="shared" si="88"/>
        <v>5.36</v>
      </c>
      <c r="AQ32" s="67">
        <f t="shared" si="76"/>
        <v>16.984000000000002</v>
      </c>
      <c r="AR32" s="57">
        <f t="shared" si="77"/>
        <v>5.12</v>
      </c>
      <c r="AS32" s="57">
        <f t="shared" si="78"/>
        <v>16.3</v>
      </c>
      <c r="AT32" s="140">
        <f t="shared" si="79"/>
        <v>-0.24000000000000021</v>
      </c>
      <c r="AU32" s="140">
        <f t="shared" si="80"/>
        <v>-0.68400000000000105</v>
      </c>
      <c r="AV32" s="67">
        <v>3.41</v>
      </c>
      <c r="AW32" s="67">
        <v>9.7964099999999998</v>
      </c>
      <c r="AX32" s="57">
        <v>3.43</v>
      </c>
      <c r="AY32" s="57">
        <v>11.4</v>
      </c>
      <c r="AZ32" s="140">
        <f t="shared" si="81"/>
        <v>2.0000000000000018E-2</v>
      </c>
      <c r="BA32" s="140">
        <f t="shared" si="82"/>
        <v>1.6035900000000005</v>
      </c>
      <c r="BB32" s="67">
        <f t="shared" si="83"/>
        <v>8.77</v>
      </c>
      <c r="BC32" s="67">
        <f t="shared" si="84"/>
        <v>26.780410000000003</v>
      </c>
      <c r="BD32" s="57">
        <v>8.7899999999999991</v>
      </c>
      <c r="BE32" s="57">
        <v>28.5</v>
      </c>
      <c r="BF32" s="140">
        <f t="shared" si="85"/>
        <v>1.9999999999999574E-2</v>
      </c>
      <c r="BG32" s="241">
        <f t="shared" si="86"/>
        <v>1.7195899999999966</v>
      </c>
      <c r="BH32" s="348">
        <v>7.77</v>
      </c>
      <c r="BI32" s="216">
        <v>0</v>
      </c>
    </row>
    <row r="33" spans="1:61" ht="15.75" thickBot="1" x14ac:dyDescent="0.3">
      <c r="A33" s="29" t="s">
        <v>67</v>
      </c>
      <c r="B33" s="3">
        <v>6.73</v>
      </c>
      <c r="C33" s="3">
        <v>21.4</v>
      </c>
      <c r="D33" s="44">
        <v>6.97</v>
      </c>
      <c r="E33" s="48">
        <v>21.3</v>
      </c>
      <c r="F33" s="5">
        <f t="shared" si="64"/>
        <v>-0.23999999999999932</v>
      </c>
      <c r="G33" s="52">
        <f t="shared" si="64"/>
        <v>9.9999999999997868E-2</v>
      </c>
      <c r="H33" s="6">
        <v>6.73</v>
      </c>
      <c r="I33" s="6">
        <v>19.71</v>
      </c>
      <c r="J33" s="40">
        <f t="shared" si="65"/>
        <v>-0.23999999999999932</v>
      </c>
      <c r="K33" s="40">
        <f t="shared" si="66"/>
        <v>-1.5899999999999999</v>
      </c>
      <c r="L33" s="3">
        <v>1.46</v>
      </c>
      <c r="M33" s="3">
        <v>4.7</v>
      </c>
      <c r="N33" s="4">
        <v>1.46</v>
      </c>
      <c r="O33" s="48">
        <v>4.63</v>
      </c>
      <c r="P33" s="5">
        <f t="shared" si="67"/>
        <v>0</v>
      </c>
      <c r="Q33" s="5">
        <f t="shared" si="67"/>
        <v>7.0000000000000284E-2</v>
      </c>
      <c r="R33" s="6">
        <v>1.46</v>
      </c>
      <c r="S33" s="6">
        <v>4.2699999999999996</v>
      </c>
      <c r="T33" s="7">
        <f t="shared" si="68"/>
        <v>0</v>
      </c>
      <c r="U33" s="7">
        <f t="shared" si="68"/>
        <v>-0.36000000000000032</v>
      </c>
      <c r="V33" s="3">
        <f t="shared" si="69"/>
        <v>8.1900000000000013</v>
      </c>
      <c r="W33" s="3">
        <f t="shared" si="70"/>
        <v>26.099999999999998</v>
      </c>
      <c r="X33" s="8">
        <v>8.43</v>
      </c>
      <c r="Y33" s="8">
        <v>25.93</v>
      </c>
      <c r="Z33" s="5">
        <f t="shared" si="71"/>
        <v>-0.23999999999999844</v>
      </c>
      <c r="AA33" s="5">
        <f t="shared" si="71"/>
        <v>0.16999999999999815</v>
      </c>
      <c r="AB33" s="11">
        <v>8.19</v>
      </c>
      <c r="AC33" s="11">
        <v>23.98</v>
      </c>
      <c r="AD33" s="12">
        <f t="shared" si="72"/>
        <v>-0.24000000000000021</v>
      </c>
      <c r="AE33" s="12">
        <f t="shared" si="72"/>
        <v>-1.9499999999999993</v>
      </c>
      <c r="AF33" s="57"/>
      <c r="AG33" s="57"/>
      <c r="AH33" s="58">
        <v>0.38</v>
      </c>
      <c r="AI33" s="59">
        <v>1.258</v>
      </c>
      <c r="AJ33" s="5">
        <f t="shared" si="87"/>
        <v>-0.38</v>
      </c>
      <c r="AK33" s="52">
        <f t="shared" si="73"/>
        <v>-1.258</v>
      </c>
      <c r="AL33" s="6">
        <v>0.38</v>
      </c>
      <c r="AM33" s="6">
        <v>1.21</v>
      </c>
      <c r="AN33" s="12">
        <f t="shared" si="74"/>
        <v>0</v>
      </c>
      <c r="AO33" s="65">
        <f t="shared" si="75"/>
        <v>-4.8000000000000043E-2</v>
      </c>
      <c r="AP33" s="67">
        <f t="shared" si="88"/>
        <v>8.81</v>
      </c>
      <c r="AQ33" s="67">
        <f t="shared" si="76"/>
        <v>27.187999999999999</v>
      </c>
      <c r="AR33" s="57">
        <f t="shared" si="77"/>
        <v>8.1900000000000013</v>
      </c>
      <c r="AS33" s="57">
        <f t="shared" si="78"/>
        <v>26.099999999999998</v>
      </c>
      <c r="AT33" s="140">
        <f t="shared" si="79"/>
        <v>-0.61999999999999922</v>
      </c>
      <c r="AU33" s="140">
        <f t="shared" si="80"/>
        <v>-1.088000000000001</v>
      </c>
      <c r="AV33" s="67">
        <v>5.48</v>
      </c>
      <c r="AW33" s="67">
        <v>18.136610000000001</v>
      </c>
      <c r="AX33" s="57">
        <v>5.48</v>
      </c>
      <c r="AY33" s="57">
        <v>18.2</v>
      </c>
      <c r="AZ33" s="140">
        <f t="shared" si="81"/>
        <v>0</v>
      </c>
      <c r="BA33" s="140">
        <f t="shared" si="82"/>
        <v>6.3389999999998281E-2</v>
      </c>
      <c r="BB33" s="67">
        <f t="shared" si="83"/>
        <v>14.290000000000001</v>
      </c>
      <c r="BC33" s="67">
        <f t="shared" si="84"/>
        <v>45.32461</v>
      </c>
      <c r="BD33" s="57">
        <v>14.05</v>
      </c>
      <c r="BE33" s="57">
        <v>45.6</v>
      </c>
      <c r="BF33" s="140">
        <f t="shared" si="85"/>
        <v>-0.24000000000000021</v>
      </c>
      <c r="BG33" s="241">
        <f t="shared" si="86"/>
        <v>0.27539000000000158</v>
      </c>
      <c r="BH33" s="348">
        <v>14.05</v>
      </c>
      <c r="BI33" s="216">
        <v>0</v>
      </c>
    </row>
    <row r="34" spans="1:61" ht="15.75" thickBot="1" x14ac:dyDescent="0.3">
      <c r="A34" s="29" t="s">
        <v>63</v>
      </c>
      <c r="B34" s="3">
        <v>2.96</v>
      </c>
      <c r="C34" s="3">
        <v>4.58</v>
      </c>
      <c r="D34" s="44">
        <v>2.96</v>
      </c>
      <c r="E34" s="48">
        <v>4.9000000000000004</v>
      </c>
      <c r="F34" s="5">
        <f t="shared" si="64"/>
        <v>0</v>
      </c>
      <c r="G34" s="52">
        <f t="shared" si="64"/>
        <v>-0.32000000000000028</v>
      </c>
      <c r="H34" s="6">
        <v>1.97</v>
      </c>
      <c r="I34" s="6">
        <v>3.05</v>
      </c>
      <c r="J34" s="40">
        <f t="shared" si="65"/>
        <v>-0.99</v>
      </c>
      <c r="K34" s="40">
        <f t="shared" si="66"/>
        <v>-1.8500000000000005</v>
      </c>
      <c r="L34" s="3">
        <v>0.64</v>
      </c>
      <c r="M34" s="3">
        <v>0.97</v>
      </c>
      <c r="N34" s="4">
        <v>0.64</v>
      </c>
      <c r="O34" s="48">
        <v>1.05</v>
      </c>
      <c r="P34" s="5">
        <f t="shared" si="67"/>
        <v>0</v>
      </c>
      <c r="Q34" s="5">
        <f t="shared" si="67"/>
        <v>-8.0000000000000071E-2</v>
      </c>
      <c r="R34" s="6">
        <v>0.63</v>
      </c>
      <c r="S34" s="6">
        <v>0.97</v>
      </c>
      <c r="T34" s="7">
        <f t="shared" si="68"/>
        <v>-1.0000000000000009E-2</v>
      </c>
      <c r="U34" s="7">
        <f t="shared" si="68"/>
        <v>-8.0000000000000071E-2</v>
      </c>
      <c r="V34" s="3">
        <f t="shared" si="69"/>
        <v>3.6</v>
      </c>
      <c r="W34" s="3">
        <f t="shared" si="70"/>
        <v>5.55</v>
      </c>
      <c r="X34" s="8">
        <v>3.6</v>
      </c>
      <c r="Y34" s="8">
        <v>5.95</v>
      </c>
      <c r="Z34" s="5">
        <f t="shared" si="71"/>
        <v>0</v>
      </c>
      <c r="AA34" s="5">
        <f t="shared" si="71"/>
        <v>-0.40000000000000036</v>
      </c>
      <c r="AB34" s="11">
        <v>2.6</v>
      </c>
      <c r="AC34" s="11">
        <v>4.0199999999999996</v>
      </c>
      <c r="AD34" s="12">
        <f t="shared" si="72"/>
        <v>-1</v>
      </c>
      <c r="AE34" s="12">
        <f t="shared" si="72"/>
        <v>-1.9300000000000006</v>
      </c>
      <c r="AF34" s="57"/>
      <c r="AG34" s="57"/>
      <c r="AH34" s="58">
        <v>0.17</v>
      </c>
      <c r="AI34" s="59">
        <v>0.29099999999999998</v>
      </c>
      <c r="AJ34" s="5">
        <f t="shared" si="87"/>
        <v>-0.17</v>
      </c>
      <c r="AK34" s="52">
        <f t="shared" si="73"/>
        <v>-0.29099999999999998</v>
      </c>
      <c r="AL34" s="6">
        <v>0.17</v>
      </c>
      <c r="AM34" s="6">
        <v>0.28000000000000003</v>
      </c>
      <c r="AN34" s="12">
        <f t="shared" si="74"/>
        <v>0</v>
      </c>
      <c r="AO34" s="65">
        <f t="shared" si="75"/>
        <v>-1.0999999999999954E-2</v>
      </c>
      <c r="AP34" s="67">
        <f t="shared" si="88"/>
        <v>3.77</v>
      </c>
      <c r="AQ34" s="67">
        <f t="shared" si="76"/>
        <v>6.2410000000000005</v>
      </c>
      <c r="AR34" s="57">
        <f t="shared" si="77"/>
        <v>3.6</v>
      </c>
      <c r="AS34" s="57">
        <f t="shared" si="78"/>
        <v>5.55</v>
      </c>
      <c r="AT34" s="140">
        <f t="shared" si="79"/>
        <v>-0.16999999999999993</v>
      </c>
      <c r="AU34" s="140">
        <f t="shared" si="80"/>
        <v>-0.69100000000000072</v>
      </c>
      <c r="AV34" s="67">
        <v>1.52</v>
      </c>
      <c r="AW34" s="67">
        <v>2.5992000000000002</v>
      </c>
      <c r="AX34" s="57">
        <v>2.41</v>
      </c>
      <c r="AY34" s="57">
        <v>3.97</v>
      </c>
      <c r="AZ34" s="140">
        <f t="shared" si="81"/>
        <v>0.89000000000000012</v>
      </c>
      <c r="BA34" s="140">
        <f t="shared" si="82"/>
        <v>1.3708</v>
      </c>
      <c r="BB34" s="67">
        <f t="shared" si="83"/>
        <v>5.29</v>
      </c>
      <c r="BC34" s="67">
        <f t="shared" si="84"/>
        <v>8.8402000000000012</v>
      </c>
      <c r="BD34" s="57">
        <v>6.18</v>
      </c>
      <c r="BE34" s="57">
        <v>9.8000000000000007</v>
      </c>
      <c r="BF34" s="140">
        <f t="shared" si="85"/>
        <v>0.88999999999999968</v>
      </c>
      <c r="BG34" s="241">
        <f t="shared" si="86"/>
        <v>0.95979999999999954</v>
      </c>
      <c r="BH34" s="348">
        <v>4.6500000000000004</v>
      </c>
      <c r="BI34" s="216">
        <v>0</v>
      </c>
    </row>
    <row r="35" spans="1:61" ht="15.75" thickBot="1" x14ac:dyDescent="0.3">
      <c r="A35" s="29" t="s">
        <v>94</v>
      </c>
      <c r="B35" s="3">
        <v>20.84</v>
      </c>
      <c r="C35" s="3">
        <v>34.200000000000003</v>
      </c>
      <c r="D35" s="44">
        <v>16.446000000000002</v>
      </c>
      <c r="E35" s="48">
        <v>26.99</v>
      </c>
      <c r="F35" s="5">
        <f t="shared" si="64"/>
        <v>4.3939999999999984</v>
      </c>
      <c r="G35" s="52">
        <f t="shared" si="64"/>
        <v>7.2100000000000044</v>
      </c>
      <c r="H35" s="6">
        <v>17.12</v>
      </c>
      <c r="I35" s="6">
        <v>26.49</v>
      </c>
      <c r="J35" s="40">
        <f t="shared" si="65"/>
        <v>0.67399999999999949</v>
      </c>
      <c r="K35" s="40">
        <f t="shared" si="66"/>
        <v>-0.5</v>
      </c>
      <c r="L35" s="3">
        <v>4.51</v>
      </c>
      <c r="M35" s="3">
        <v>7.4</v>
      </c>
      <c r="N35" s="4">
        <v>3.3460000000000001</v>
      </c>
      <c r="O35" s="48">
        <v>5.49</v>
      </c>
      <c r="P35" s="5">
        <f t="shared" si="67"/>
        <v>1.1639999999999997</v>
      </c>
      <c r="Q35" s="5">
        <f t="shared" si="67"/>
        <v>1.9100000000000001</v>
      </c>
      <c r="R35" s="6">
        <v>3.7</v>
      </c>
      <c r="S35" s="6">
        <v>5.73</v>
      </c>
      <c r="T35" s="7">
        <f t="shared" si="68"/>
        <v>0.35400000000000009</v>
      </c>
      <c r="U35" s="7">
        <f t="shared" si="68"/>
        <v>0.24000000000000021</v>
      </c>
      <c r="V35" s="3">
        <f t="shared" si="69"/>
        <v>25.35</v>
      </c>
      <c r="W35" s="3">
        <f t="shared" si="70"/>
        <v>41.6</v>
      </c>
      <c r="X35" s="8">
        <v>19.792000000000002</v>
      </c>
      <c r="Y35" s="8">
        <v>32.479999999999997</v>
      </c>
      <c r="Z35" s="5">
        <f t="shared" si="71"/>
        <v>5.5579999999999998</v>
      </c>
      <c r="AA35" s="5">
        <f t="shared" si="71"/>
        <v>9.1200000000000045</v>
      </c>
      <c r="AB35" s="11">
        <v>20.82</v>
      </c>
      <c r="AC35" s="11">
        <v>32.22</v>
      </c>
      <c r="AD35" s="12">
        <f t="shared" si="72"/>
        <v>1.0279999999999987</v>
      </c>
      <c r="AE35" s="12">
        <f t="shared" si="72"/>
        <v>-0.25999999999999801</v>
      </c>
      <c r="AF35" s="57">
        <v>1.17</v>
      </c>
      <c r="AG35" s="57">
        <v>2</v>
      </c>
      <c r="AH35" s="58"/>
      <c r="AI35" s="59"/>
      <c r="AJ35" s="5">
        <f t="shared" si="87"/>
        <v>1.17</v>
      </c>
      <c r="AK35" s="52">
        <f t="shared" si="73"/>
        <v>2</v>
      </c>
      <c r="AL35" s="6">
        <v>0.4</v>
      </c>
      <c r="AM35" s="6">
        <v>0.66</v>
      </c>
      <c r="AN35" s="12">
        <f t="shared" si="74"/>
        <v>0.4</v>
      </c>
      <c r="AO35" s="65">
        <f t="shared" si="75"/>
        <v>0.66</v>
      </c>
      <c r="AP35" s="67">
        <f t="shared" si="88"/>
        <v>19.792000000000002</v>
      </c>
      <c r="AQ35" s="67">
        <f t="shared" si="76"/>
        <v>32.479999999999997</v>
      </c>
      <c r="AR35" s="57">
        <f t="shared" si="77"/>
        <v>26.520000000000003</v>
      </c>
      <c r="AS35" s="57">
        <f t="shared" si="78"/>
        <v>43.6</v>
      </c>
      <c r="AT35" s="140">
        <f t="shared" si="79"/>
        <v>6.7280000000000015</v>
      </c>
      <c r="AU35" s="140">
        <f t="shared" si="80"/>
        <v>11.120000000000005</v>
      </c>
      <c r="AV35" s="67">
        <v>12.73</v>
      </c>
      <c r="AW35" s="67">
        <v>21.7683</v>
      </c>
      <c r="AX35" s="57">
        <v>16.93</v>
      </c>
      <c r="AY35" s="57">
        <v>29</v>
      </c>
      <c r="AZ35" s="140">
        <f t="shared" si="81"/>
        <v>4.1999999999999993</v>
      </c>
      <c r="BA35" s="140">
        <f t="shared" si="82"/>
        <v>7.2317</v>
      </c>
      <c r="BB35" s="67">
        <f t="shared" si="83"/>
        <v>32.522000000000006</v>
      </c>
      <c r="BC35" s="67">
        <f t="shared" si="84"/>
        <v>54.2483</v>
      </c>
      <c r="BD35" s="57">
        <v>43.45</v>
      </c>
      <c r="BE35" s="57">
        <v>72.599999999999994</v>
      </c>
      <c r="BF35" s="140">
        <f t="shared" si="85"/>
        <v>10.927999999999997</v>
      </c>
      <c r="BG35" s="241">
        <f t="shared" si="86"/>
        <v>18.351699999999994</v>
      </c>
      <c r="BH35" s="348">
        <v>33.799999999999997</v>
      </c>
      <c r="BI35" s="216">
        <v>0</v>
      </c>
    </row>
    <row r="36" spans="1:61" s="36" customFormat="1" ht="15.75" thickBot="1" x14ac:dyDescent="0.3">
      <c r="A36" s="37" t="s">
        <v>92</v>
      </c>
      <c r="B36" s="13">
        <f t="shared" ref="B36:G36" si="89">SUM(B26:B35)</f>
        <v>293.02</v>
      </c>
      <c r="C36" s="13">
        <f t="shared" si="89"/>
        <v>502.27999999999986</v>
      </c>
      <c r="D36" s="41">
        <f t="shared" si="89"/>
        <v>213.42500000000001</v>
      </c>
      <c r="E36" s="49">
        <f t="shared" si="89"/>
        <v>374.77900000000005</v>
      </c>
      <c r="F36" s="13">
        <f t="shared" si="89"/>
        <v>79.594999999999999</v>
      </c>
      <c r="G36" s="49">
        <f t="shared" si="89"/>
        <v>127.50099999999995</v>
      </c>
      <c r="H36" s="13">
        <f t="shared" ref="H36:K36" si="90">SUM(H26:H35)</f>
        <v>214.57999999999998</v>
      </c>
      <c r="I36" s="13">
        <f t="shared" si="90"/>
        <v>351.03</v>
      </c>
      <c r="J36" s="13">
        <f t="shared" si="90"/>
        <v>1.1549999999999889</v>
      </c>
      <c r="K36" s="13">
        <f t="shared" si="90"/>
        <v>-23.749000000000027</v>
      </c>
      <c r="L36" s="13">
        <f t="shared" ref="L36:S36" si="91">SUM(L26:L35)</f>
        <v>70.650000000000006</v>
      </c>
      <c r="M36" s="13">
        <f t="shared" si="91"/>
        <v>88.836000000000027</v>
      </c>
      <c r="N36" s="13">
        <f t="shared" si="91"/>
        <v>49.63600000000001</v>
      </c>
      <c r="O36" s="49">
        <f t="shared" si="91"/>
        <v>86.859999999999985</v>
      </c>
      <c r="P36" s="13">
        <f t="shared" si="91"/>
        <v>21.014000000000003</v>
      </c>
      <c r="Q36" s="13">
        <f t="shared" si="91"/>
        <v>1.9760000000000073</v>
      </c>
      <c r="R36" s="13">
        <f t="shared" si="91"/>
        <v>48.800000000000011</v>
      </c>
      <c r="S36" s="13">
        <f t="shared" si="91"/>
        <v>80.389999999999986</v>
      </c>
      <c r="T36" s="13">
        <f t="shared" si="68"/>
        <v>-0.83599999999999852</v>
      </c>
      <c r="U36" s="13">
        <f t="shared" si="68"/>
        <v>-6.4699999999999989</v>
      </c>
      <c r="V36" s="13">
        <f>SUM(V26:V35)</f>
        <v>363.67000000000007</v>
      </c>
      <c r="W36" s="13">
        <f>SUM(W26:W35)</f>
        <v>591.11599999999999</v>
      </c>
      <c r="X36" s="13">
        <f>SUM(X26:X35)</f>
        <v>263.04100000000005</v>
      </c>
      <c r="Y36" s="13">
        <f>SUM(Y26:Y35)</f>
        <v>461.63900000000001</v>
      </c>
      <c r="Z36" s="13">
        <f t="shared" si="71"/>
        <v>100.62900000000002</v>
      </c>
      <c r="AA36" s="13">
        <f t="shared" si="71"/>
        <v>129.47699999999998</v>
      </c>
      <c r="AB36" s="14">
        <v>263.38</v>
      </c>
      <c r="AC36" s="14">
        <v>431.42</v>
      </c>
      <c r="AD36" s="14">
        <f t="shared" si="72"/>
        <v>0.33899999999994179</v>
      </c>
      <c r="AE36" s="14">
        <f t="shared" si="72"/>
        <v>-30.218999999999994</v>
      </c>
      <c r="AF36" s="43">
        <f>SUM(AF26:AF35)</f>
        <v>13.05</v>
      </c>
      <c r="AG36" s="43">
        <f>SUM(AG26:AG35)</f>
        <v>22.2</v>
      </c>
      <c r="AH36" s="43">
        <f>SUM(AH26:AH35)</f>
        <v>12.420000000000002</v>
      </c>
      <c r="AI36" s="61">
        <f>SUM(AI26:AI35)</f>
        <v>22.711000000000002</v>
      </c>
      <c r="AJ36" s="13">
        <f t="shared" si="87"/>
        <v>0.62999999999999901</v>
      </c>
      <c r="AK36" s="49">
        <f t="shared" si="73"/>
        <v>-0.51100000000000279</v>
      </c>
      <c r="AL36" s="13">
        <f t="shared" ref="AL36:AM36" si="92">SUM(AL26:AL35)</f>
        <v>7.5900000000000007</v>
      </c>
      <c r="AM36" s="13">
        <f t="shared" si="92"/>
        <v>13.83</v>
      </c>
      <c r="AN36" s="14">
        <f t="shared" ref="AN36" si="93">AL36-AH36</f>
        <v>-4.830000000000001</v>
      </c>
      <c r="AO36" s="60">
        <f t="shared" ref="AO36" si="94">AM36-AI36</f>
        <v>-8.881000000000002</v>
      </c>
      <c r="AP36" s="68">
        <f>SUM(AP26:AP35)</f>
        <v>275.46100000000001</v>
      </c>
      <c r="AQ36" s="61">
        <f>SUM(AQ26:AQ35)</f>
        <v>484.34999999999997</v>
      </c>
      <c r="AR36" s="43">
        <f>SUM(AR26:AR35)</f>
        <v>376.72</v>
      </c>
      <c r="AS36" s="43">
        <f>SUM(AS26:AS35)</f>
        <v>613.31599999999992</v>
      </c>
      <c r="AT36" s="13">
        <f t="shared" ref="AT36" si="95">AP36-AR36</f>
        <v>-101.25900000000001</v>
      </c>
      <c r="AU36" s="49">
        <f t="shared" ref="AU36" si="96">AQ36-AS36</f>
        <v>-128.96599999999995</v>
      </c>
      <c r="AV36" s="68">
        <f>SUM(AV26:AV35)</f>
        <v>165.40999999999997</v>
      </c>
      <c r="AW36" s="61">
        <f>SUM(AW26:AW35)</f>
        <v>302.62156999999996</v>
      </c>
      <c r="AX36" s="43">
        <f>SUM(AX26:AX35)</f>
        <v>237.44999999999996</v>
      </c>
      <c r="AY36" s="43">
        <f>SUM(AY26:AY35)</f>
        <v>419.67</v>
      </c>
      <c r="AZ36" s="13">
        <f t="shared" ref="AZ36" si="97">AV36-AX36</f>
        <v>-72.039999999999992</v>
      </c>
      <c r="BA36" s="49">
        <f t="shared" ref="BA36" si="98">AW36-AY36</f>
        <v>-117.04843000000005</v>
      </c>
      <c r="BB36" s="68">
        <f>SUM(BB26:BB35)</f>
        <v>440.89100000000002</v>
      </c>
      <c r="BC36" s="61">
        <f>SUM(BC26:BC35)</f>
        <v>786.97156999999993</v>
      </c>
      <c r="BD36" s="43">
        <f>SUM(BD26:BD35)</f>
        <v>609.24999999999989</v>
      </c>
      <c r="BE36" s="43">
        <f>SUM(BE26:BE35)</f>
        <v>1058</v>
      </c>
      <c r="BF36" s="41">
        <f>BD36-BB36</f>
        <v>168.35899999999987</v>
      </c>
      <c r="BG36" s="244">
        <f>BE36-BC36</f>
        <v>271.02843000000007</v>
      </c>
      <c r="BH36" s="351">
        <f>SUM(BH26:BH35)</f>
        <v>435.11999999999995</v>
      </c>
      <c r="BI36" s="217">
        <v>463.71</v>
      </c>
    </row>
    <row r="37" spans="1:61" ht="15.75" thickBot="1" x14ac:dyDescent="0.3">
      <c r="A37" s="30" t="s">
        <v>95</v>
      </c>
      <c r="B37" s="3"/>
      <c r="C37" s="3"/>
      <c r="D37" s="44"/>
      <c r="E37" s="48"/>
      <c r="F37" s="5"/>
      <c r="G37" s="52"/>
      <c r="H37" s="6"/>
      <c r="I37" s="6"/>
      <c r="J37" s="40"/>
      <c r="K37" s="40"/>
      <c r="L37" s="3"/>
      <c r="M37" s="3"/>
      <c r="N37" s="4"/>
      <c r="O37" s="48"/>
      <c r="P37" s="5"/>
      <c r="Q37" s="5"/>
      <c r="R37" s="6"/>
      <c r="S37" s="6"/>
      <c r="T37" s="7"/>
      <c r="U37" s="7"/>
      <c r="V37" s="3"/>
      <c r="W37" s="3"/>
      <c r="X37" s="8"/>
      <c r="Y37" s="8"/>
      <c r="Z37" s="5"/>
      <c r="AA37" s="5"/>
      <c r="AB37" s="11"/>
      <c r="AC37" s="11"/>
      <c r="AD37" s="12"/>
      <c r="AE37" s="12"/>
      <c r="AF37" s="57"/>
      <c r="AG37" s="57"/>
      <c r="AH37" s="58"/>
      <c r="AI37" s="59"/>
      <c r="AJ37" s="5"/>
      <c r="AK37" s="52"/>
      <c r="AL37" s="6"/>
      <c r="AM37" s="6"/>
      <c r="AN37" s="12"/>
      <c r="AO37" s="65"/>
      <c r="AP37" s="67"/>
      <c r="AQ37" s="59"/>
      <c r="AR37" s="57"/>
      <c r="AS37" s="57"/>
      <c r="AT37" s="5"/>
      <c r="AU37" s="52"/>
      <c r="AV37" s="67"/>
      <c r="AW37" s="59"/>
      <c r="AX37" s="57"/>
      <c r="AY37" s="57"/>
      <c r="AZ37" s="5"/>
      <c r="BA37" s="52"/>
      <c r="BB37" s="67"/>
      <c r="BC37" s="59"/>
      <c r="BD37" s="57"/>
      <c r="BE37" s="57"/>
      <c r="BF37" s="5"/>
      <c r="BG37" s="240"/>
      <c r="BH37" s="347"/>
      <c r="BI37" s="216"/>
    </row>
    <row r="38" spans="1:61" ht="15.75" thickBot="1" x14ac:dyDescent="0.3">
      <c r="A38" s="29" t="s">
        <v>96</v>
      </c>
      <c r="B38" s="3">
        <v>196.24</v>
      </c>
      <c r="C38" s="3">
        <v>322.10000000000002</v>
      </c>
      <c r="D38" s="44">
        <v>159.73599999999999</v>
      </c>
      <c r="E38" s="48">
        <v>262.15100000000001</v>
      </c>
      <c r="F38" s="5">
        <f t="shared" ref="F38:G54" si="99">B38-D38</f>
        <v>36.504000000000019</v>
      </c>
      <c r="G38" s="52">
        <f t="shared" si="99"/>
        <v>59.949000000000012</v>
      </c>
      <c r="H38" s="6">
        <v>154.87</v>
      </c>
      <c r="I38" s="6">
        <v>239.6</v>
      </c>
      <c r="J38" s="40">
        <f t="shared" ref="J38" si="100">H38-D38</f>
        <v>-4.8659999999999854</v>
      </c>
      <c r="K38" s="40">
        <f t="shared" ref="K38" si="101">I38-E38</f>
        <v>-22.551000000000016</v>
      </c>
      <c r="L38" s="3">
        <v>41.75</v>
      </c>
      <c r="M38" s="3">
        <v>68.5</v>
      </c>
      <c r="N38" s="4">
        <v>40.947000000000003</v>
      </c>
      <c r="O38" s="48">
        <v>67.2</v>
      </c>
      <c r="P38" s="5">
        <f t="shared" ref="P38:Q54" si="102">L38-N38</f>
        <v>0.80299999999999727</v>
      </c>
      <c r="Q38" s="5">
        <f t="shared" si="102"/>
        <v>1.2999999999999972</v>
      </c>
      <c r="R38" s="6">
        <v>41.97</v>
      </c>
      <c r="S38" s="6">
        <v>64.94</v>
      </c>
      <c r="T38" s="7">
        <f>R38-N38</f>
        <v>1.0229999999999961</v>
      </c>
      <c r="U38" s="7">
        <f>S38-O38</f>
        <v>-2.2600000000000051</v>
      </c>
      <c r="V38" s="3">
        <f t="shared" ref="V38" si="103">B38+L38</f>
        <v>237.99</v>
      </c>
      <c r="W38" s="3">
        <f t="shared" ref="W38" si="104">C38+M38</f>
        <v>390.6</v>
      </c>
      <c r="X38" s="56">
        <f>D38+L38</f>
        <v>201.48599999999999</v>
      </c>
      <c r="Y38" s="56">
        <f>E38+M38</f>
        <v>330.65100000000001</v>
      </c>
      <c r="Z38" s="5">
        <f>V38-X38</f>
        <v>36.504000000000019</v>
      </c>
      <c r="AA38" s="5">
        <f>W38-Y38</f>
        <v>59.949000000000012</v>
      </c>
      <c r="AB38" s="11">
        <v>196.84</v>
      </c>
      <c r="AC38" s="11">
        <v>304.54000000000002</v>
      </c>
      <c r="AD38" s="12">
        <f>AB38-X38</f>
        <v>-4.6459999999999866</v>
      </c>
      <c r="AE38" s="12">
        <f>AC38-Y38</f>
        <v>-26.11099999999999</v>
      </c>
      <c r="AF38" s="57">
        <v>9.4499999999999993</v>
      </c>
      <c r="AG38" s="57">
        <v>16.2</v>
      </c>
      <c r="AH38" s="58">
        <v>12.43</v>
      </c>
      <c r="AI38" s="59">
        <v>21.254999999999999</v>
      </c>
      <c r="AJ38" s="5">
        <f>AF38-AH38</f>
        <v>-2.9800000000000004</v>
      </c>
      <c r="AK38" s="52">
        <f>AG38-AI38</f>
        <v>-5.0549999999999997</v>
      </c>
      <c r="AL38" s="6">
        <v>12.51</v>
      </c>
      <c r="AM38" s="6">
        <v>20.52</v>
      </c>
      <c r="AN38" s="12">
        <f t="shared" ref="AN38" si="105">AL38-AH38</f>
        <v>8.0000000000000071E-2</v>
      </c>
      <c r="AO38" s="65">
        <f t="shared" ref="AO38" si="106">AM38-AI38</f>
        <v>-0.73499999999999943</v>
      </c>
      <c r="AP38" s="67">
        <f>AH38+X38</f>
        <v>213.916</v>
      </c>
      <c r="AQ38" s="67">
        <f>AI38+Y38</f>
        <v>351.90600000000001</v>
      </c>
      <c r="AR38" s="57">
        <f t="shared" ref="AR38:AR55" si="107">V38+AF38</f>
        <v>247.44</v>
      </c>
      <c r="AS38" s="57">
        <f t="shared" ref="AS38:AS55" si="108">W38+AG38</f>
        <v>406.8</v>
      </c>
      <c r="AT38" s="140">
        <f t="shared" ref="AT38:AU38" si="109">AR38-AP38</f>
        <v>33.524000000000001</v>
      </c>
      <c r="AU38" s="140">
        <f t="shared" si="109"/>
        <v>54.894000000000005</v>
      </c>
      <c r="AV38" s="67">
        <v>119.72199999999999</v>
      </c>
      <c r="AW38" s="67">
        <v>204.72399999999999</v>
      </c>
      <c r="AX38" s="57">
        <v>153.83000000000001</v>
      </c>
      <c r="AY38" s="57">
        <v>263.10000000000002</v>
      </c>
      <c r="AZ38" s="140">
        <f t="shared" ref="AZ38" si="110">AX38-AV38</f>
        <v>34.108000000000018</v>
      </c>
      <c r="BA38" s="140">
        <f t="shared" ref="BA38" si="111">AY38-AW38</f>
        <v>58.376000000000033</v>
      </c>
      <c r="BB38" s="67">
        <f t="shared" ref="BB38:BC41" si="112">D38+N38+AH38+AV38</f>
        <v>332.83499999999998</v>
      </c>
      <c r="BC38" s="67">
        <f t="shared" si="112"/>
        <v>555.32999999999993</v>
      </c>
      <c r="BD38" s="57">
        <v>401.27</v>
      </c>
      <c r="BE38" s="57">
        <v>669.9</v>
      </c>
      <c r="BF38" s="140">
        <f t="shared" ref="BF38" si="113">BD38-BB38</f>
        <v>68.435000000000002</v>
      </c>
      <c r="BG38" s="241">
        <f t="shared" ref="BG38" si="114">BE38-BC38</f>
        <v>114.57000000000005</v>
      </c>
      <c r="BH38" s="348">
        <v>321.33</v>
      </c>
      <c r="BI38" s="216" t="s">
        <v>298</v>
      </c>
    </row>
    <row r="39" spans="1:61" ht="15.75" thickBot="1" x14ac:dyDescent="0.3">
      <c r="A39" s="29" t="s">
        <v>97</v>
      </c>
      <c r="B39" s="3"/>
      <c r="C39" s="3"/>
      <c r="D39" s="44"/>
      <c r="E39" s="48"/>
      <c r="F39" s="5">
        <f t="shared" si="99"/>
        <v>0</v>
      </c>
      <c r="G39" s="52">
        <f t="shared" si="99"/>
        <v>0</v>
      </c>
      <c r="H39" s="6"/>
      <c r="I39" s="6"/>
      <c r="J39" s="40"/>
      <c r="K39" s="40"/>
      <c r="L39" s="3"/>
      <c r="M39" s="3"/>
      <c r="N39" s="4"/>
      <c r="O39" s="48"/>
      <c r="P39" s="5">
        <f t="shared" si="102"/>
        <v>0</v>
      </c>
      <c r="Q39" s="5">
        <f t="shared" si="102"/>
        <v>0</v>
      </c>
      <c r="R39" s="6"/>
      <c r="S39" s="6"/>
      <c r="T39" s="7"/>
      <c r="U39" s="7"/>
      <c r="V39" s="3"/>
      <c r="W39" s="3"/>
      <c r="X39" s="8"/>
      <c r="Y39" s="8"/>
      <c r="Z39" s="5"/>
      <c r="AA39" s="5"/>
      <c r="AB39" s="11"/>
      <c r="AC39" s="11"/>
      <c r="AD39" s="12"/>
      <c r="AE39" s="12"/>
      <c r="AF39" s="57"/>
      <c r="AG39" s="57"/>
      <c r="AH39" s="58"/>
      <c r="AI39" s="59"/>
      <c r="AJ39" s="5"/>
      <c r="AK39" s="52"/>
      <c r="AL39" s="6"/>
      <c r="AM39" s="6"/>
      <c r="AN39" s="12"/>
      <c r="AO39" s="65"/>
      <c r="AP39" s="67"/>
      <c r="AQ39" s="59"/>
      <c r="AR39" s="57">
        <f t="shared" si="107"/>
        <v>0</v>
      </c>
      <c r="AS39" s="57">
        <f t="shared" si="108"/>
        <v>0</v>
      </c>
      <c r="AT39" s="5"/>
      <c r="AU39" s="52"/>
      <c r="AV39" s="67"/>
      <c r="AW39" s="59"/>
      <c r="AX39" s="57"/>
      <c r="AY39" s="57"/>
      <c r="AZ39" s="5"/>
      <c r="BA39" s="52"/>
      <c r="BB39" s="67">
        <f t="shared" si="112"/>
        <v>0</v>
      </c>
      <c r="BC39" s="59">
        <f t="shared" si="112"/>
        <v>0</v>
      </c>
      <c r="BD39" s="57"/>
      <c r="BE39" s="57"/>
      <c r="BF39" s="5"/>
      <c r="BG39" s="240"/>
      <c r="BH39" s="347"/>
      <c r="BI39" s="216"/>
    </row>
    <row r="40" spans="1:61" ht="15.75" thickBot="1" x14ac:dyDescent="0.3">
      <c r="A40" s="29" t="s">
        <v>98</v>
      </c>
      <c r="B40" s="3">
        <v>7.17</v>
      </c>
      <c r="C40" s="3">
        <v>11.7</v>
      </c>
      <c r="D40" s="44">
        <v>5.4379999999999997</v>
      </c>
      <c r="E40" s="48">
        <v>8.9250000000000007</v>
      </c>
      <c r="F40" s="5">
        <f t="shared" si="99"/>
        <v>1.7320000000000002</v>
      </c>
      <c r="G40" s="52">
        <f t="shared" si="99"/>
        <v>2.7749999999999986</v>
      </c>
      <c r="H40" s="6">
        <v>5.84</v>
      </c>
      <c r="I40" s="6">
        <v>9.0399999999999991</v>
      </c>
      <c r="J40" s="40">
        <f t="shared" ref="J40:J41" si="115">H40-D40</f>
        <v>0.40200000000000014</v>
      </c>
      <c r="K40" s="40">
        <f t="shared" ref="K40:K41" si="116">I40-E40</f>
        <v>0.11499999999999844</v>
      </c>
      <c r="L40" s="3">
        <v>1.55</v>
      </c>
      <c r="M40" s="3">
        <v>2.6</v>
      </c>
      <c r="N40" s="4">
        <v>1.5660000000000001</v>
      </c>
      <c r="O40" s="48">
        <v>2.57</v>
      </c>
      <c r="P40" s="5">
        <f t="shared" si="102"/>
        <v>-1.6000000000000014E-2</v>
      </c>
      <c r="Q40" s="5">
        <f t="shared" si="102"/>
        <v>3.0000000000000249E-2</v>
      </c>
      <c r="R40" s="6">
        <v>1.68</v>
      </c>
      <c r="S40" s="6">
        <v>2.6</v>
      </c>
      <c r="T40" s="7">
        <f>R40-N40</f>
        <v>0.11399999999999988</v>
      </c>
      <c r="U40" s="7">
        <f>S40-O40</f>
        <v>3.0000000000000249E-2</v>
      </c>
      <c r="V40" s="3">
        <f t="shared" ref="V40:V41" si="117">B40+L40</f>
        <v>8.7200000000000006</v>
      </c>
      <c r="W40" s="3">
        <f t="shared" ref="W40:W41" si="118">C40+M40</f>
        <v>14.299999999999999</v>
      </c>
      <c r="X40" s="56">
        <f t="shared" ref="X40:X41" si="119">D40+L40</f>
        <v>6.9879999999999995</v>
      </c>
      <c r="Y40" s="56">
        <f t="shared" ref="Y40:Y41" si="120">E40+M40</f>
        <v>11.525</v>
      </c>
      <c r="Z40" s="5">
        <f>V40-X40</f>
        <v>1.7320000000000011</v>
      </c>
      <c r="AA40" s="5">
        <f>W40-Y40</f>
        <v>2.7749999999999986</v>
      </c>
      <c r="AB40" s="11">
        <v>7.52</v>
      </c>
      <c r="AC40" s="11">
        <v>11.64</v>
      </c>
      <c r="AD40" s="12">
        <f>AB40-X40</f>
        <v>0.53200000000000003</v>
      </c>
      <c r="AE40" s="12">
        <f>AC40-Y40</f>
        <v>0.11500000000000021</v>
      </c>
      <c r="AF40" s="57">
        <v>0.4</v>
      </c>
      <c r="AG40" s="57">
        <v>0.7</v>
      </c>
      <c r="AH40" s="58">
        <v>0.43</v>
      </c>
      <c r="AI40" s="59">
        <v>0.73499999999999999</v>
      </c>
      <c r="AJ40" s="5">
        <f>AF40-AH40</f>
        <v>-2.9999999999999971E-2</v>
      </c>
      <c r="AK40" s="52">
        <f>AG40-AI40</f>
        <v>-3.5000000000000031E-2</v>
      </c>
      <c r="AL40" s="6">
        <v>0.19</v>
      </c>
      <c r="AM40" s="6">
        <v>0.3</v>
      </c>
      <c r="AN40" s="12">
        <f t="shared" ref="AN40:AN41" si="121">AL40-AH40</f>
        <v>-0.24</v>
      </c>
      <c r="AO40" s="65">
        <f t="shared" ref="AO40:AO41" si="122">AM40-AI40</f>
        <v>-0.435</v>
      </c>
      <c r="AP40" s="67">
        <f t="shared" ref="AP40:AP41" si="123">AH40+X40</f>
        <v>7.4179999999999993</v>
      </c>
      <c r="AQ40" s="67">
        <f t="shared" ref="AQ40:AQ41" si="124">AI40+Y40</f>
        <v>12.26</v>
      </c>
      <c r="AR40" s="57">
        <f t="shared" si="107"/>
        <v>9.120000000000001</v>
      </c>
      <c r="AS40" s="57">
        <f t="shared" si="108"/>
        <v>14.999999999999998</v>
      </c>
      <c r="AT40" s="140">
        <f t="shared" ref="AT40:AT41" si="125">AR40-AP40</f>
        <v>1.7020000000000017</v>
      </c>
      <c r="AU40" s="140">
        <f t="shared" ref="AU40:AU41" si="126">AS40-AQ40</f>
        <v>2.7399999999999984</v>
      </c>
      <c r="AV40" s="67">
        <v>4.4930000000000003</v>
      </c>
      <c r="AW40" s="67">
        <v>7.6829999999999998</v>
      </c>
      <c r="AX40" s="57">
        <v>5.83</v>
      </c>
      <c r="AY40" s="57">
        <v>10.199999999999999</v>
      </c>
      <c r="AZ40" s="140">
        <f t="shared" ref="AZ40:AZ41" si="127">AX40-AV40</f>
        <v>1.3369999999999997</v>
      </c>
      <c r="BA40" s="140">
        <f t="shared" ref="BA40:BA41" si="128">AY40-AW40</f>
        <v>2.5169999999999995</v>
      </c>
      <c r="BB40" s="67">
        <f t="shared" si="112"/>
        <v>11.927</v>
      </c>
      <c r="BC40" s="67">
        <f t="shared" si="112"/>
        <v>19.913</v>
      </c>
      <c r="BD40" s="57">
        <v>14.95</v>
      </c>
      <c r="BE40" s="57">
        <v>25.2</v>
      </c>
      <c r="BF40" s="140">
        <f t="shared" ref="BF40:BF41" si="129">BD40-BB40</f>
        <v>3.0229999999999997</v>
      </c>
      <c r="BG40" s="241">
        <f t="shared" ref="BG40:BG41" si="130">BE40-BC40</f>
        <v>5.286999999999999</v>
      </c>
      <c r="BH40" s="348">
        <v>12.69</v>
      </c>
      <c r="BI40" s="216">
        <v>13.09</v>
      </c>
    </row>
    <row r="41" spans="1:61" ht="15.75" thickBot="1" x14ac:dyDescent="0.3">
      <c r="A41" s="29" t="s">
        <v>99</v>
      </c>
      <c r="B41" s="3">
        <v>5.94</v>
      </c>
      <c r="C41" s="3">
        <v>18.899999999999999</v>
      </c>
      <c r="D41" s="44">
        <v>4.7640000000000002</v>
      </c>
      <c r="E41" s="48">
        <v>15.131</v>
      </c>
      <c r="F41" s="5">
        <f t="shared" si="99"/>
        <v>1.1760000000000002</v>
      </c>
      <c r="G41" s="52">
        <f t="shared" si="99"/>
        <v>3.7689999999999984</v>
      </c>
      <c r="H41" s="6">
        <v>4.72</v>
      </c>
      <c r="I41" s="6">
        <v>13.83</v>
      </c>
      <c r="J41" s="40">
        <f t="shared" si="115"/>
        <v>-4.4000000000000483E-2</v>
      </c>
      <c r="K41" s="40">
        <f t="shared" si="116"/>
        <v>-1.3010000000000002</v>
      </c>
      <c r="L41" s="3">
        <v>1.29</v>
      </c>
      <c r="M41" s="3">
        <v>4.0999999999999996</v>
      </c>
      <c r="N41" s="4">
        <v>1.486</v>
      </c>
      <c r="O41" s="48">
        <v>4.72</v>
      </c>
      <c r="P41" s="5">
        <f t="shared" si="102"/>
        <v>-0.19599999999999995</v>
      </c>
      <c r="Q41" s="5">
        <f t="shared" si="102"/>
        <v>-0.62000000000000011</v>
      </c>
      <c r="R41" s="6">
        <v>1.27</v>
      </c>
      <c r="S41" s="6">
        <v>3.73</v>
      </c>
      <c r="T41" s="7">
        <f>R41-N41</f>
        <v>-0.21599999999999997</v>
      </c>
      <c r="U41" s="7">
        <f>S41-O41</f>
        <v>-0.98999999999999977</v>
      </c>
      <c r="V41" s="3">
        <f t="shared" si="117"/>
        <v>7.23</v>
      </c>
      <c r="W41" s="3">
        <f t="shared" si="118"/>
        <v>23</v>
      </c>
      <c r="X41" s="56">
        <f t="shared" si="119"/>
        <v>6.0540000000000003</v>
      </c>
      <c r="Y41" s="56">
        <f t="shared" si="120"/>
        <v>19.231000000000002</v>
      </c>
      <c r="Z41" s="5">
        <f>V41-X41</f>
        <v>1.1760000000000002</v>
      </c>
      <c r="AA41" s="5">
        <f>W41-Y41</f>
        <v>3.7689999999999984</v>
      </c>
      <c r="AB41" s="11">
        <v>5.99</v>
      </c>
      <c r="AC41" s="11">
        <v>17.559999999999999</v>
      </c>
      <c r="AD41" s="12">
        <f>AB41-X41</f>
        <v>-6.4000000000000057E-2</v>
      </c>
      <c r="AE41" s="12">
        <f>AC41-Y41</f>
        <v>-1.6710000000000029</v>
      </c>
      <c r="AF41" s="57">
        <v>0.33</v>
      </c>
      <c r="AG41" s="57">
        <v>1.1000000000000001</v>
      </c>
      <c r="AH41" s="58">
        <v>0.36</v>
      </c>
      <c r="AI41" s="59">
        <v>1.1910000000000001</v>
      </c>
      <c r="AJ41" s="5">
        <f>AF41-AH41</f>
        <v>-2.9999999999999971E-2</v>
      </c>
      <c r="AK41" s="52">
        <f>AG41-AI41</f>
        <v>-9.099999999999997E-2</v>
      </c>
      <c r="AL41" s="6">
        <v>0.36</v>
      </c>
      <c r="AM41" s="6">
        <v>1.6</v>
      </c>
      <c r="AN41" s="12">
        <f t="shared" si="121"/>
        <v>0</v>
      </c>
      <c r="AO41" s="65">
        <f t="shared" si="122"/>
        <v>0.40900000000000003</v>
      </c>
      <c r="AP41" s="67">
        <f t="shared" si="123"/>
        <v>6.4140000000000006</v>
      </c>
      <c r="AQ41" s="67">
        <f t="shared" si="124"/>
        <v>20.422000000000001</v>
      </c>
      <c r="AR41" s="57">
        <f t="shared" si="107"/>
        <v>7.5600000000000005</v>
      </c>
      <c r="AS41" s="57">
        <f t="shared" si="108"/>
        <v>24.1</v>
      </c>
      <c r="AT41" s="140">
        <f t="shared" si="125"/>
        <v>1.1459999999999999</v>
      </c>
      <c r="AU41" s="140">
        <f t="shared" si="126"/>
        <v>3.6780000000000008</v>
      </c>
      <c r="AV41" s="67">
        <v>5.22</v>
      </c>
      <c r="AW41" s="67">
        <v>17.276</v>
      </c>
      <c r="AX41" s="57">
        <v>4.82</v>
      </c>
      <c r="AY41" s="57">
        <v>16.2</v>
      </c>
      <c r="AZ41" s="140">
        <f t="shared" si="127"/>
        <v>-0.39999999999999947</v>
      </c>
      <c r="BA41" s="140">
        <f t="shared" si="128"/>
        <v>-1.0760000000000005</v>
      </c>
      <c r="BB41" s="67">
        <f t="shared" si="112"/>
        <v>11.83</v>
      </c>
      <c r="BC41" s="67">
        <f t="shared" si="112"/>
        <v>38.317999999999998</v>
      </c>
      <c r="BD41" s="57">
        <v>12.38</v>
      </c>
      <c r="BE41" s="57">
        <v>40.299999999999997</v>
      </c>
      <c r="BF41" s="140">
        <f t="shared" si="129"/>
        <v>0.55000000000000071</v>
      </c>
      <c r="BG41" s="241">
        <f t="shared" si="130"/>
        <v>1.9819999999999993</v>
      </c>
      <c r="BH41" s="348">
        <v>10.83</v>
      </c>
      <c r="BI41" s="216">
        <v>9.56</v>
      </c>
    </row>
    <row r="42" spans="1:61" ht="15.75" thickBot="1" x14ac:dyDescent="0.3">
      <c r="A42" s="29" t="s">
        <v>100</v>
      </c>
      <c r="B42" s="3"/>
      <c r="C42" s="3"/>
      <c r="D42" s="44"/>
      <c r="E42" s="48"/>
      <c r="F42" s="5">
        <f t="shared" si="99"/>
        <v>0</v>
      </c>
      <c r="G42" s="52">
        <f t="shared" si="99"/>
        <v>0</v>
      </c>
      <c r="H42" s="6"/>
      <c r="I42" s="6"/>
      <c r="J42" s="40"/>
      <c r="K42" s="40"/>
      <c r="L42" s="3"/>
      <c r="M42" s="3"/>
      <c r="N42" s="4"/>
      <c r="O42" s="48"/>
      <c r="P42" s="5">
        <f t="shared" si="102"/>
        <v>0</v>
      </c>
      <c r="Q42" s="5">
        <f t="shared" si="102"/>
        <v>0</v>
      </c>
      <c r="R42" s="6"/>
      <c r="S42" s="6"/>
      <c r="T42" s="7"/>
      <c r="U42" s="7"/>
      <c r="V42" s="3"/>
      <c r="W42" s="3"/>
      <c r="X42" s="8"/>
      <c r="Y42" s="8"/>
      <c r="Z42" s="5"/>
      <c r="AA42" s="5"/>
      <c r="AB42" s="11"/>
      <c r="AC42" s="11"/>
      <c r="AD42" s="12"/>
      <c r="AE42" s="12"/>
      <c r="AF42" s="57"/>
      <c r="AG42" s="57"/>
      <c r="AH42" s="58"/>
      <c r="AI42" s="59"/>
      <c r="AJ42" s="5"/>
      <c r="AK42" s="52"/>
      <c r="AL42" s="6"/>
      <c r="AM42" s="6"/>
      <c r="AN42" s="12"/>
      <c r="AO42" s="65"/>
      <c r="AP42" s="67"/>
      <c r="AQ42" s="59"/>
      <c r="AR42" s="57">
        <f t="shared" si="107"/>
        <v>0</v>
      </c>
      <c r="AS42" s="57">
        <f t="shared" si="108"/>
        <v>0</v>
      </c>
      <c r="AT42" s="5"/>
      <c r="AU42" s="52"/>
      <c r="AV42" s="67"/>
      <c r="AW42" s="59"/>
      <c r="AX42" s="57"/>
      <c r="AY42" s="57"/>
      <c r="AZ42" s="5"/>
      <c r="BA42" s="52"/>
      <c r="BB42" s="67"/>
      <c r="BC42" s="59">
        <f t="shared" ref="BC42:BC55" si="131">E42+O42+AI42+AW42</f>
        <v>0</v>
      </c>
      <c r="BD42" s="57"/>
      <c r="BE42" s="57"/>
      <c r="BF42" s="5"/>
      <c r="BG42" s="240"/>
      <c r="BH42" s="347"/>
      <c r="BI42" s="216">
        <v>7.06</v>
      </c>
    </row>
    <row r="43" spans="1:61" ht="15.75" thickBot="1" x14ac:dyDescent="0.3">
      <c r="A43" s="29" t="s">
        <v>101</v>
      </c>
      <c r="B43" s="3">
        <v>7.29</v>
      </c>
      <c r="C43" s="3">
        <v>23.2</v>
      </c>
      <c r="D43" s="44">
        <v>7.29</v>
      </c>
      <c r="E43" s="48">
        <v>23.155000000000001</v>
      </c>
      <c r="F43" s="5">
        <f t="shared" si="99"/>
        <v>0</v>
      </c>
      <c r="G43" s="52">
        <f t="shared" si="99"/>
        <v>4.4999999999998153E-2</v>
      </c>
      <c r="H43" s="6">
        <v>7.29</v>
      </c>
      <c r="I43" s="6">
        <v>21.35</v>
      </c>
      <c r="J43" s="40">
        <f t="shared" ref="J43:J55" si="132">H43-D43</f>
        <v>0</v>
      </c>
      <c r="K43" s="40">
        <f t="shared" ref="K43:K55" si="133">I43-E43</f>
        <v>-1.8049999999999997</v>
      </c>
      <c r="L43" s="3">
        <v>1.59</v>
      </c>
      <c r="M43" s="3">
        <v>5.0999999999999996</v>
      </c>
      <c r="N43" s="4">
        <v>1.59</v>
      </c>
      <c r="O43" s="48">
        <v>5.05</v>
      </c>
      <c r="P43" s="5">
        <f t="shared" si="102"/>
        <v>0</v>
      </c>
      <c r="Q43" s="5">
        <f t="shared" si="102"/>
        <v>4.9999999999999822E-2</v>
      </c>
      <c r="R43" s="6">
        <v>1.59</v>
      </c>
      <c r="S43" s="6">
        <v>4.6500000000000004</v>
      </c>
      <c r="T43" s="7">
        <f t="shared" ref="T43:U56" si="134">R43-N43</f>
        <v>0</v>
      </c>
      <c r="U43" s="7">
        <f t="shared" si="134"/>
        <v>-0.39999999999999947</v>
      </c>
      <c r="V43" s="3">
        <f t="shared" ref="V43:V55" si="135">B43+L43</f>
        <v>8.8800000000000008</v>
      </c>
      <c r="W43" s="3">
        <f t="shared" ref="W43:W55" si="136">C43+M43</f>
        <v>28.299999999999997</v>
      </c>
      <c r="X43" s="56">
        <f t="shared" ref="X43:X55" si="137">D43+L43</f>
        <v>8.8800000000000008</v>
      </c>
      <c r="Y43" s="56">
        <f t="shared" ref="Y43:Y55" si="138">E43+M43</f>
        <v>28.255000000000003</v>
      </c>
      <c r="Z43" s="5">
        <f t="shared" ref="Z43:AA56" si="139">V43-X43</f>
        <v>0</v>
      </c>
      <c r="AA43" s="5">
        <f t="shared" si="139"/>
        <v>4.49999999999946E-2</v>
      </c>
      <c r="AB43" s="11">
        <v>8.8800000000000008</v>
      </c>
      <c r="AC43" s="11">
        <v>26</v>
      </c>
      <c r="AD43" s="12">
        <f t="shared" ref="AD43:AE56" si="140">AB43-X43</f>
        <v>0</v>
      </c>
      <c r="AE43" s="12">
        <f t="shared" si="140"/>
        <v>-2.2550000000000026</v>
      </c>
      <c r="AF43" s="57">
        <v>0.41</v>
      </c>
      <c r="AG43" s="57">
        <v>1.4</v>
      </c>
      <c r="AH43" s="58">
        <v>0.41</v>
      </c>
      <c r="AI43" s="59">
        <v>1.357</v>
      </c>
      <c r="AJ43" s="5">
        <f t="shared" ref="AJ43:AJ56" si="141">AF43-AH43</f>
        <v>0</v>
      </c>
      <c r="AK43" s="52">
        <f t="shared" ref="AK43:AK55" si="142">AG43-AI43</f>
        <v>4.2999999999999927E-2</v>
      </c>
      <c r="AL43" s="6">
        <v>0.41</v>
      </c>
      <c r="AM43" s="6">
        <v>1.3</v>
      </c>
      <c r="AN43" s="12">
        <f t="shared" ref="AN43:AN55" si="143">AL43-AH43</f>
        <v>0</v>
      </c>
      <c r="AO43" s="65">
        <f t="shared" ref="AO43:AO55" si="144">AM43-AI43</f>
        <v>-5.699999999999994E-2</v>
      </c>
      <c r="AP43" s="67">
        <f t="shared" ref="AP43:AP55" si="145">AH43+X43</f>
        <v>9.2900000000000009</v>
      </c>
      <c r="AQ43" s="67">
        <f t="shared" ref="AQ43:AQ55" si="146">AI43+Y43</f>
        <v>29.612000000000002</v>
      </c>
      <c r="AR43" s="57">
        <f t="shared" si="107"/>
        <v>9.2900000000000009</v>
      </c>
      <c r="AS43" s="57">
        <f t="shared" si="108"/>
        <v>29.699999999999996</v>
      </c>
      <c r="AT43" s="140">
        <f t="shared" ref="AT43:AT55" si="147">AR43-AP43</f>
        <v>0</v>
      </c>
      <c r="AU43" s="140">
        <f t="shared" ref="AU43:AU55" si="148">AS43-AQ43</f>
        <v>8.7999999999993861E-2</v>
      </c>
      <c r="AV43" s="67">
        <v>5.94</v>
      </c>
      <c r="AW43" s="67">
        <v>19.658999999999999</v>
      </c>
      <c r="AX43" s="57">
        <v>5.94</v>
      </c>
      <c r="AY43" s="57">
        <v>20</v>
      </c>
      <c r="AZ43" s="140">
        <f t="shared" ref="AZ43:AZ55" si="149">AX43-AV43</f>
        <v>0</v>
      </c>
      <c r="BA43" s="140">
        <f t="shared" ref="BA43:BA55" si="150">AY43-AW43</f>
        <v>0.34100000000000108</v>
      </c>
      <c r="BB43" s="67">
        <f t="shared" ref="BB43:BB55" si="151">D43+N43+AH43+AV43</f>
        <v>15.23</v>
      </c>
      <c r="BC43" s="67">
        <f t="shared" si="131"/>
        <v>49.221000000000004</v>
      </c>
      <c r="BD43" s="57">
        <v>15.23</v>
      </c>
      <c r="BE43" s="57">
        <v>49.7</v>
      </c>
      <c r="BF43" s="140">
        <f t="shared" ref="BF43:BF55" si="152">BD43-BB43</f>
        <v>0</v>
      </c>
      <c r="BG43" s="241">
        <f t="shared" ref="BG43:BG55" si="153">BE43-BC43</f>
        <v>0.4789999999999992</v>
      </c>
      <c r="BH43" s="348">
        <v>15.23</v>
      </c>
      <c r="BI43" s="216">
        <v>12.53</v>
      </c>
    </row>
    <row r="44" spans="1:61" ht="15.75" thickBot="1" x14ac:dyDescent="0.3">
      <c r="A44" s="29" t="s">
        <v>102</v>
      </c>
      <c r="B44" s="3">
        <v>3.75</v>
      </c>
      <c r="C44" s="3">
        <v>11.9</v>
      </c>
      <c r="D44" s="44">
        <v>3.13</v>
      </c>
      <c r="E44" s="48">
        <v>9.9380000000000006</v>
      </c>
      <c r="F44" s="5">
        <f t="shared" si="99"/>
        <v>0.62000000000000011</v>
      </c>
      <c r="G44" s="52">
        <f t="shared" si="99"/>
        <v>1.9619999999999997</v>
      </c>
      <c r="H44" s="6">
        <v>3.64</v>
      </c>
      <c r="I44" s="6">
        <v>10.64</v>
      </c>
      <c r="J44" s="40">
        <f t="shared" si="132"/>
        <v>0.51000000000000023</v>
      </c>
      <c r="K44" s="40">
        <f t="shared" si="133"/>
        <v>0.70199999999999996</v>
      </c>
      <c r="L44" s="3">
        <v>0.82</v>
      </c>
      <c r="M44" s="3">
        <v>2.6</v>
      </c>
      <c r="N44" s="4">
        <v>0.96</v>
      </c>
      <c r="O44" s="48">
        <v>3.0489999999999999</v>
      </c>
      <c r="P44" s="5">
        <f t="shared" si="102"/>
        <v>-0.14000000000000001</v>
      </c>
      <c r="Q44" s="5">
        <f t="shared" si="102"/>
        <v>-0.44899999999999984</v>
      </c>
      <c r="R44" s="6">
        <v>1.01</v>
      </c>
      <c r="S44" s="6">
        <v>2.97</v>
      </c>
      <c r="T44" s="7">
        <f t="shared" si="134"/>
        <v>5.0000000000000044E-2</v>
      </c>
      <c r="U44" s="7">
        <f t="shared" si="134"/>
        <v>-7.8999999999999737E-2</v>
      </c>
      <c r="V44" s="3">
        <f t="shared" si="135"/>
        <v>4.57</v>
      </c>
      <c r="W44" s="3">
        <f t="shared" si="136"/>
        <v>14.5</v>
      </c>
      <c r="X44" s="56">
        <f t="shared" si="137"/>
        <v>3.9499999999999997</v>
      </c>
      <c r="Y44" s="56">
        <f t="shared" si="138"/>
        <v>12.538</v>
      </c>
      <c r="Z44" s="5">
        <f t="shared" si="139"/>
        <v>0.62000000000000055</v>
      </c>
      <c r="AA44" s="5">
        <f t="shared" si="139"/>
        <v>1.9619999999999997</v>
      </c>
      <c r="AB44" s="11">
        <v>4.6500000000000004</v>
      </c>
      <c r="AC44" s="11">
        <v>13.61</v>
      </c>
      <c r="AD44" s="12">
        <f t="shared" si="140"/>
        <v>0.70000000000000062</v>
      </c>
      <c r="AE44" s="12">
        <f t="shared" si="140"/>
        <v>1.0719999999999992</v>
      </c>
      <c r="AF44" s="57">
        <v>0.21</v>
      </c>
      <c r="AG44" s="57">
        <v>0.7</v>
      </c>
      <c r="AH44" s="58">
        <v>0.21</v>
      </c>
      <c r="AI44" s="59">
        <v>0.69499999999999995</v>
      </c>
      <c r="AJ44" s="5">
        <f t="shared" si="141"/>
        <v>0</v>
      </c>
      <c r="AK44" s="52">
        <f t="shared" si="142"/>
        <v>5.0000000000000044E-3</v>
      </c>
      <c r="AL44" s="6">
        <v>0.14000000000000001</v>
      </c>
      <c r="AM44" s="6">
        <v>0.44</v>
      </c>
      <c r="AN44" s="12">
        <f t="shared" si="143"/>
        <v>-6.9999999999999979E-2</v>
      </c>
      <c r="AO44" s="65">
        <f t="shared" si="144"/>
        <v>-0.25499999999999995</v>
      </c>
      <c r="AP44" s="67">
        <f t="shared" si="145"/>
        <v>4.16</v>
      </c>
      <c r="AQ44" s="67">
        <f t="shared" si="146"/>
        <v>13.233000000000001</v>
      </c>
      <c r="AR44" s="57">
        <f t="shared" si="107"/>
        <v>4.78</v>
      </c>
      <c r="AS44" s="57">
        <f t="shared" si="108"/>
        <v>15.2</v>
      </c>
      <c r="AT44" s="140">
        <f t="shared" si="147"/>
        <v>0.62000000000000011</v>
      </c>
      <c r="AU44" s="140">
        <f t="shared" si="148"/>
        <v>1.9669999999999987</v>
      </c>
      <c r="AV44" s="67">
        <v>3.06</v>
      </c>
      <c r="AW44" s="67">
        <v>10.127000000000001</v>
      </c>
      <c r="AX44" s="57">
        <v>3.06</v>
      </c>
      <c r="AY44" s="57">
        <v>10.3</v>
      </c>
      <c r="AZ44" s="140">
        <f t="shared" si="149"/>
        <v>0</v>
      </c>
      <c r="BA44" s="140">
        <f t="shared" si="150"/>
        <v>0.17300000000000004</v>
      </c>
      <c r="BB44" s="67">
        <f t="shared" si="151"/>
        <v>7.3599999999999994</v>
      </c>
      <c r="BC44" s="67">
        <f t="shared" si="131"/>
        <v>23.809000000000001</v>
      </c>
      <c r="BD44" s="57">
        <v>7.84</v>
      </c>
      <c r="BE44" s="57">
        <v>25.5</v>
      </c>
      <c r="BF44" s="140">
        <f t="shared" si="152"/>
        <v>0.48000000000000043</v>
      </c>
      <c r="BG44" s="241">
        <f t="shared" si="153"/>
        <v>1.6909999999999989</v>
      </c>
      <c r="BH44" s="348">
        <v>7.42</v>
      </c>
      <c r="BI44" s="216">
        <v>8.35</v>
      </c>
    </row>
    <row r="45" spans="1:61" ht="15.75" thickBot="1" x14ac:dyDescent="0.3">
      <c r="A45" s="29" t="s">
        <v>103</v>
      </c>
      <c r="B45" s="3">
        <v>7.05</v>
      </c>
      <c r="C45" s="3">
        <v>11.6</v>
      </c>
      <c r="D45" s="44">
        <v>5.3250000000000002</v>
      </c>
      <c r="E45" s="48">
        <v>8.7390000000000008</v>
      </c>
      <c r="F45" s="5">
        <f t="shared" si="99"/>
        <v>1.7249999999999996</v>
      </c>
      <c r="G45" s="52">
        <f t="shared" si="99"/>
        <v>2.8609999999999989</v>
      </c>
      <c r="H45" s="6">
        <v>7.05</v>
      </c>
      <c r="I45" s="6">
        <v>10.91</v>
      </c>
      <c r="J45" s="40">
        <f t="shared" si="132"/>
        <v>1.7249999999999996</v>
      </c>
      <c r="K45" s="40">
        <f t="shared" si="133"/>
        <v>2.1709999999999994</v>
      </c>
      <c r="L45" s="3">
        <v>1.53</v>
      </c>
      <c r="M45" s="3">
        <v>2.5</v>
      </c>
      <c r="N45" s="4">
        <v>1.53</v>
      </c>
      <c r="O45" s="48">
        <v>2.5110000000000001</v>
      </c>
      <c r="P45" s="5">
        <f t="shared" si="102"/>
        <v>0</v>
      </c>
      <c r="Q45" s="5">
        <f t="shared" si="102"/>
        <v>-1.1000000000000121E-2</v>
      </c>
      <c r="R45" s="6">
        <v>1.53</v>
      </c>
      <c r="S45" s="6">
        <v>2.36</v>
      </c>
      <c r="T45" s="7">
        <f t="shared" si="134"/>
        <v>0</v>
      </c>
      <c r="U45" s="7">
        <f t="shared" si="134"/>
        <v>-0.15100000000000025</v>
      </c>
      <c r="V45" s="3">
        <f t="shared" si="135"/>
        <v>8.58</v>
      </c>
      <c r="W45" s="3">
        <f t="shared" si="136"/>
        <v>14.1</v>
      </c>
      <c r="X45" s="56">
        <f t="shared" si="137"/>
        <v>6.8550000000000004</v>
      </c>
      <c r="Y45" s="56">
        <f t="shared" si="138"/>
        <v>11.239000000000001</v>
      </c>
      <c r="Z45" s="5">
        <f t="shared" si="139"/>
        <v>1.7249999999999996</v>
      </c>
      <c r="AA45" s="5">
        <f t="shared" si="139"/>
        <v>2.8609999999999989</v>
      </c>
      <c r="AB45" s="11">
        <v>8.58</v>
      </c>
      <c r="AC45" s="11">
        <v>13.27</v>
      </c>
      <c r="AD45" s="12">
        <f t="shared" si="140"/>
        <v>1.7249999999999996</v>
      </c>
      <c r="AE45" s="12">
        <f t="shared" si="140"/>
        <v>2.0309999999999988</v>
      </c>
      <c r="AF45" s="57">
        <v>0.4</v>
      </c>
      <c r="AG45" s="57">
        <v>0.7</v>
      </c>
      <c r="AH45" s="58">
        <v>0.4</v>
      </c>
      <c r="AI45" s="59">
        <v>0.68400000000000005</v>
      </c>
      <c r="AJ45" s="5">
        <f t="shared" si="141"/>
        <v>0</v>
      </c>
      <c r="AK45" s="52">
        <f t="shared" si="142"/>
        <v>1.5999999999999903E-2</v>
      </c>
      <c r="AL45" s="6">
        <v>0.4</v>
      </c>
      <c r="AM45" s="6">
        <v>0.7</v>
      </c>
      <c r="AN45" s="12">
        <f t="shared" si="143"/>
        <v>0</v>
      </c>
      <c r="AO45" s="65">
        <f t="shared" si="144"/>
        <v>1.5999999999999903E-2</v>
      </c>
      <c r="AP45" s="67">
        <f t="shared" si="145"/>
        <v>7.2550000000000008</v>
      </c>
      <c r="AQ45" s="67">
        <f t="shared" si="146"/>
        <v>11.923</v>
      </c>
      <c r="AR45" s="57">
        <f t="shared" si="107"/>
        <v>8.98</v>
      </c>
      <c r="AS45" s="57">
        <f t="shared" si="108"/>
        <v>14.799999999999999</v>
      </c>
      <c r="AT45" s="140">
        <f t="shared" si="147"/>
        <v>1.7249999999999996</v>
      </c>
      <c r="AU45" s="140">
        <f t="shared" si="148"/>
        <v>2.8769999999999989</v>
      </c>
      <c r="AV45" s="67">
        <v>4.5720000000000001</v>
      </c>
      <c r="AW45" s="67">
        <v>7.2779999999999996</v>
      </c>
      <c r="AX45" s="57">
        <v>5.73</v>
      </c>
      <c r="AY45" s="57">
        <v>10</v>
      </c>
      <c r="AZ45" s="140">
        <f t="shared" si="149"/>
        <v>1.1580000000000004</v>
      </c>
      <c r="BA45" s="140">
        <f t="shared" si="150"/>
        <v>2.7220000000000004</v>
      </c>
      <c r="BB45" s="67">
        <f t="shared" si="151"/>
        <v>11.827000000000002</v>
      </c>
      <c r="BC45" s="67">
        <f t="shared" si="131"/>
        <v>19.212</v>
      </c>
      <c r="BD45" s="57">
        <v>14.71</v>
      </c>
      <c r="BE45" s="57">
        <v>24.8</v>
      </c>
      <c r="BF45" s="140">
        <f t="shared" si="152"/>
        <v>2.8829999999999991</v>
      </c>
      <c r="BG45" s="241">
        <f t="shared" si="153"/>
        <v>5.588000000000001</v>
      </c>
      <c r="BH45" s="348">
        <v>14.71</v>
      </c>
      <c r="BI45" s="216">
        <v>22.37</v>
      </c>
    </row>
    <row r="46" spans="1:61" ht="15.75" thickBot="1" x14ac:dyDescent="0.3">
      <c r="A46" s="29" t="s">
        <v>104</v>
      </c>
      <c r="B46" s="3">
        <v>20.010000000000002</v>
      </c>
      <c r="C46" s="3">
        <v>32.799999999999997</v>
      </c>
      <c r="D46" s="44">
        <v>15.119</v>
      </c>
      <c r="E46" s="48">
        <v>24.812999999999999</v>
      </c>
      <c r="F46" s="5">
        <f t="shared" si="99"/>
        <v>4.8910000000000018</v>
      </c>
      <c r="G46" s="52">
        <f t="shared" si="99"/>
        <v>7.9869999999999983</v>
      </c>
      <c r="H46" s="6">
        <v>20.010000000000002</v>
      </c>
      <c r="I46" s="6">
        <v>30.96</v>
      </c>
      <c r="J46" s="40">
        <f t="shared" si="132"/>
        <v>4.8910000000000018</v>
      </c>
      <c r="K46" s="40">
        <f t="shared" si="133"/>
        <v>6.147000000000002</v>
      </c>
      <c r="L46" s="3">
        <v>4.34</v>
      </c>
      <c r="M46" s="3">
        <v>7.1</v>
      </c>
      <c r="N46" s="4">
        <v>4.34</v>
      </c>
      <c r="O46" s="48">
        <v>7.1230000000000002</v>
      </c>
      <c r="P46" s="5">
        <f t="shared" si="102"/>
        <v>0</v>
      </c>
      <c r="Q46" s="5">
        <f t="shared" si="102"/>
        <v>-2.3000000000000576E-2</v>
      </c>
      <c r="R46" s="6">
        <v>4.34</v>
      </c>
      <c r="S46" s="6">
        <v>6.71</v>
      </c>
      <c r="T46" s="7">
        <f t="shared" si="134"/>
        <v>0</v>
      </c>
      <c r="U46" s="7">
        <f t="shared" si="134"/>
        <v>-0.41300000000000026</v>
      </c>
      <c r="V46" s="3">
        <f t="shared" si="135"/>
        <v>24.35</v>
      </c>
      <c r="W46" s="3">
        <f t="shared" si="136"/>
        <v>39.9</v>
      </c>
      <c r="X46" s="56">
        <f t="shared" si="137"/>
        <v>19.459</v>
      </c>
      <c r="Y46" s="56">
        <f t="shared" si="138"/>
        <v>31.912999999999997</v>
      </c>
      <c r="Z46" s="5">
        <f t="shared" si="139"/>
        <v>4.8910000000000018</v>
      </c>
      <c r="AA46" s="5">
        <f t="shared" si="139"/>
        <v>7.9870000000000019</v>
      </c>
      <c r="AB46" s="11">
        <v>24.35</v>
      </c>
      <c r="AC46" s="11">
        <v>37.67</v>
      </c>
      <c r="AD46" s="12">
        <f t="shared" si="140"/>
        <v>4.8910000000000018</v>
      </c>
      <c r="AE46" s="12">
        <f t="shared" si="140"/>
        <v>5.757000000000005</v>
      </c>
      <c r="AF46" s="57">
        <v>1.1299999999999999</v>
      </c>
      <c r="AG46" s="57">
        <v>2</v>
      </c>
      <c r="AH46" s="58">
        <v>1.1299999999999999</v>
      </c>
      <c r="AI46" s="59">
        <v>1.9319999999999999</v>
      </c>
      <c r="AJ46" s="5">
        <f t="shared" si="141"/>
        <v>0</v>
      </c>
      <c r="AK46" s="52">
        <f t="shared" si="142"/>
        <v>6.800000000000006E-2</v>
      </c>
      <c r="AL46" s="6">
        <v>1.1299999999999999</v>
      </c>
      <c r="AM46" s="6">
        <v>1.9</v>
      </c>
      <c r="AN46" s="12">
        <f t="shared" si="143"/>
        <v>0</v>
      </c>
      <c r="AO46" s="65">
        <f t="shared" si="144"/>
        <v>-3.2000000000000028E-2</v>
      </c>
      <c r="AP46" s="67">
        <f t="shared" si="145"/>
        <v>20.588999999999999</v>
      </c>
      <c r="AQ46" s="67">
        <f t="shared" si="146"/>
        <v>33.844999999999999</v>
      </c>
      <c r="AR46" s="57">
        <f t="shared" si="107"/>
        <v>25.48</v>
      </c>
      <c r="AS46" s="57">
        <f t="shared" si="108"/>
        <v>41.9</v>
      </c>
      <c r="AT46" s="140">
        <f t="shared" si="147"/>
        <v>4.8910000000000018</v>
      </c>
      <c r="AU46" s="140">
        <f t="shared" si="148"/>
        <v>8.0549999999999997</v>
      </c>
      <c r="AV46" s="67">
        <v>12.069000000000001</v>
      </c>
      <c r="AW46" s="67">
        <v>20.638000000000002</v>
      </c>
      <c r="AX46" s="57">
        <v>16.28</v>
      </c>
      <c r="AY46" s="57">
        <v>27.9</v>
      </c>
      <c r="AZ46" s="140">
        <f t="shared" si="149"/>
        <v>4.2110000000000003</v>
      </c>
      <c r="BA46" s="140">
        <f t="shared" si="150"/>
        <v>7.2619999999999969</v>
      </c>
      <c r="BB46" s="67">
        <f t="shared" si="151"/>
        <v>32.658000000000001</v>
      </c>
      <c r="BC46" s="67">
        <f t="shared" si="131"/>
        <v>54.506</v>
      </c>
      <c r="BD46" s="57">
        <v>41.76</v>
      </c>
      <c r="BE46" s="57">
        <v>69.8</v>
      </c>
      <c r="BF46" s="140">
        <f t="shared" si="152"/>
        <v>9.1019999999999968</v>
      </c>
      <c r="BG46" s="241">
        <f t="shared" si="153"/>
        <v>15.293999999999997</v>
      </c>
      <c r="BH46" s="348">
        <v>41.76</v>
      </c>
      <c r="BI46" s="216">
        <v>42.48</v>
      </c>
    </row>
    <row r="47" spans="1:61" ht="15.75" thickBot="1" x14ac:dyDescent="0.3">
      <c r="A47" s="29" t="s">
        <v>105</v>
      </c>
      <c r="B47" s="3">
        <v>75.069999999999993</v>
      </c>
      <c r="C47" s="3">
        <v>123.2</v>
      </c>
      <c r="D47" s="44">
        <v>49.241</v>
      </c>
      <c r="E47" s="48">
        <v>80.81</v>
      </c>
      <c r="F47" s="5">
        <f t="shared" si="99"/>
        <v>25.828999999999994</v>
      </c>
      <c r="G47" s="52">
        <f t="shared" si="99"/>
        <v>42.39</v>
      </c>
      <c r="H47" s="6">
        <v>54.61</v>
      </c>
      <c r="I47" s="6">
        <v>84.49</v>
      </c>
      <c r="J47" s="40">
        <f t="shared" si="132"/>
        <v>5.3689999999999998</v>
      </c>
      <c r="K47" s="40">
        <f t="shared" si="133"/>
        <v>3.6799999999999926</v>
      </c>
      <c r="L47" s="3">
        <v>16.260000000000002</v>
      </c>
      <c r="M47" s="3">
        <v>26.7</v>
      </c>
      <c r="N47" s="4">
        <v>16.48</v>
      </c>
      <c r="O47" s="48">
        <v>27.045999999999999</v>
      </c>
      <c r="P47" s="5">
        <f t="shared" si="102"/>
        <v>-0.21999999999999886</v>
      </c>
      <c r="Q47" s="5">
        <f t="shared" si="102"/>
        <v>-0.34600000000000009</v>
      </c>
      <c r="R47" s="6">
        <v>17.37</v>
      </c>
      <c r="S47" s="6">
        <v>26.88</v>
      </c>
      <c r="T47" s="7">
        <f t="shared" si="134"/>
        <v>0.89000000000000057</v>
      </c>
      <c r="U47" s="7">
        <f t="shared" si="134"/>
        <v>-0.16600000000000037</v>
      </c>
      <c r="V47" s="3">
        <f t="shared" si="135"/>
        <v>91.33</v>
      </c>
      <c r="W47" s="3">
        <f t="shared" si="136"/>
        <v>149.9</v>
      </c>
      <c r="X47" s="56">
        <f t="shared" si="137"/>
        <v>65.501000000000005</v>
      </c>
      <c r="Y47" s="56">
        <f t="shared" si="138"/>
        <v>107.51</v>
      </c>
      <c r="Z47" s="5">
        <f t="shared" si="139"/>
        <v>25.828999999999994</v>
      </c>
      <c r="AA47" s="5">
        <f t="shared" si="139"/>
        <v>42.39</v>
      </c>
      <c r="AB47" s="11">
        <v>71.98</v>
      </c>
      <c r="AC47" s="11">
        <v>111.37</v>
      </c>
      <c r="AD47" s="12">
        <f t="shared" si="140"/>
        <v>6.4789999999999992</v>
      </c>
      <c r="AE47" s="12">
        <f t="shared" si="140"/>
        <v>3.8599999999999994</v>
      </c>
      <c r="AF47" s="57">
        <v>4.21</v>
      </c>
      <c r="AG47" s="57">
        <v>7.3</v>
      </c>
      <c r="AH47" s="58">
        <v>4.58</v>
      </c>
      <c r="AI47" s="59">
        <v>7.8319999999999999</v>
      </c>
      <c r="AJ47" s="5">
        <f t="shared" si="141"/>
        <v>-0.37000000000000011</v>
      </c>
      <c r="AK47" s="52">
        <f t="shared" si="142"/>
        <v>-0.53200000000000003</v>
      </c>
      <c r="AL47" s="6">
        <v>4.58</v>
      </c>
      <c r="AM47" s="6">
        <v>7.5</v>
      </c>
      <c r="AN47" s="12">
        <f t="shared" si="143"/>
        <v>0</v>
      </c>
      <c r="AO47" s="65">
        <f t="shared" si="144"/>
        <v>-0.33199999999999985</v>
      </c>
      <c r="AP47" s="67">
        <f t="shared" si="145"/>
        <v>70.081000000000003</v>
      </c>
      <c r="AQ47" s="67">
        <f t="shared" si="146"/>
        <v>115.342</v>
      </c>
      <c r="AR47" s="57">
        <f t="shared" si="107"/>
        <v>95.539999999999992</v>
      </c>
      <c r="AS47" s="57">
        <f t="shared" si="108"/>
        <v>157.20000000000002</v>
      </c>
      <c r="AT47" s="140">
        <f t="shared" si="147"/>
        <v>25.458999999999989</v>
      </c>
      <c r="AU47" s="140">
        <f t="shared" si="148"/>
        <v>41.858000000000018</v>
      </c>
      <c r="AV47" s="67">
        <v>42.02</v>
      </c>
      <c r="AW47" s="67">
        <v>71.853999999999999</v>
      </c>
      <c r="AX47" s="57">
        <v>60.99</v>
      </c>
      <c r="AY47" s="57">
        <v>104.3</v>
      </c>
      <c r="AZ47" s="140">
        <f t="shared" si="149"/>
        <v>18.97</v>
      </c>
      <c r="BA47" s="140">
        <f t="shared" si="150"/>
        <v>32.445999999999998</v>
      </c>
      <c r="BB47" s="67">
        <f t="shared" si="151"/>
        <v>112.321</v>
      </c>
      <c r="BC47" s="67">
        <f t="shared" si="131"/>
        <v>187.54199999999997</v>
      </c>
      <c r="BD47" s="57">
        <v>156.53</v>
      </c>
      <c r="BE47" s="57">
        <v>261.5</v>
      </c>
      <c r="BF47" s="140">
        <f t="shared" si="152"/>
        <v>44.209000000000003</v>
      </c>
      <c r="BG47" s="241">
        <f t="shared" si="153"/>
        <v>73.958000000000027</v>
      </c>
      <c r="BH47" s="348">
        <v>124.15</v>
      </c>
      <c r="BI47" s="216">
        <v>182.51</v>
      </c>
    </row>
    <row r="48" spans="1:61" ht="15.75" thickBot="1" x14ac:dyDescent="0.3">
      <c r="A48" s="29" t="s">
        <v>36</v>
      </c>
      <c r="B48" s="3">
        <v>8.2799999999999994</v>
      </c>
      <c r="C48" s="3">
        <v>26.3</v>
      </c>
      <c r="D48" s="44">
        <v>6.3019999999999996</v>
      </c>
      <c r="E48" s="48">
        <v>20.015999999999998</v>
      </c>
      <c r="F48" s="5">
        <f t="shared" si="99"/>
        <v>1.9779999999999998</v>
      </c>
      <c r="G48" s="52">
        <f t="shared" si="99"/>
        <v>6.2840000000000025</v>
      </c>
      <c r="H48" s="6">
        <v>7.02</v>
      </c>
      <c r="I48" s="6">
        <v>20.56</v>
      </c>
      <c r="J48" s="40">
        <f t="shared" si="132"/>
        <v>0.71799999999999997</v>
      </c>
      <c r="K48" s="40">
        <f t="shared" si="133"/>
        <v>0.54400000000000048</v>
      </c>
      <c r="L48" s="3">
        <v>1.79</v>
      </c>
      <c r="M48" s="3">
        <v>5.7</v>
      </c>
      <c r="N48" s="4">
        <v>1.633</v>
      </c>
      <c r="O48" s="48">
        <v>5.1870000000000003</v>
      </c>
      <c r="P48" s="5">
        <f t="shared" si="102"/>
        <v>0.15700000000000003</v>
      </c>
      <c r="Q48" s="5">
        <f t="shared" si="102"/>
        <v>0.5129999999999999</v>
      </c>
      <c r="R48" s="6">
        <v>2.11</v>
      </c>
      <c r="S48" s="6">
        <v>6.19</v>
      </c>
      <c r="T48" s="7">
        <f t="shared" si="134"/>
        <v>0.47699999999999987</v>
      </c>
      <c r="U48" s="7">
        <f t="shared" si="134"/>
        <v>1.0030000000000001</v>
      </c>
      <c r="V48" s="3">
        <f t="shared" si="135"/>
        <v>10.07</v>
      </c>
      <c r="W48" s="3">
        <f t="shared" si="136"/>
        <v>32</v>
      </c>
      <c r="X48" s="56">
        <f t="shared" si="137"/>
        <v>8.0919999999999987</v>
      </c>
      <c r="Y48" s="56">
        <f t="shared" si="138"/>
        <v>25.715999999999998</v>
      </c>
      <c r="Z48" s="5">
        <f t="shared" si="139"/>
        <v>1.9780000000000015</v>
      </c>
      <c r="AA48" s="5">
        <f t="shared" si="139"/>
        <v>6.2840000000000025</v>
      </c>
      <c r="AB48" s="11">
        <v>9.1300000000000008</v>
      </c>
      <c r="AC48" s="11">
        <v>26.75</v>
      </c>
      <c r="AD48" s="12">
        <f t="shared" si="140"/>
        <v>1.038000000000002</v>
      </c>
      <c r="AE48" s="12">
        <f t="shared" si="140"/>
        <v>1.0340000000000025</v>
      </c>
      <c r="AF48" s="57">
        <v>0.46</v>
      </c>
      <c r="AG48" s="57">
        <v>1.6</v>
      </c>
      <c r="AH48" s="58">
        <v>0.49</v>
      </c>
      <c r="AI48" s="59">
        <v>1.6220000000000001</v>
      </c>
      <c r="AJ48" s="5">
        <f t="shared" si="141"/>
        <v>-2.9999999999999971E-2</v>
      </c>
      <c r="AK48" s="52">
        <f t="shared" si="142"/>
        <v>-2.200000000000002E-2</v>
      </c>
      <c r="AL48" s="6">
        <v>0.49</v>
      </c>
      <c r="AM48" s="6">
        <v>1.6</v>
      </c>
      <c r="AN48" s="12">
        <f t="shared" si="143"/>
        <v>0</v>
      </c>
      <c r="AO48" s="65">
        <f t="shared" si="144"/>
        <v>-2.200000000000002E-2</v>
      </c>
      <c r="AP48" s="67">
        <f t="shared" si="145"/>
        <v>8.581999999999999</v>
      </c>
      <c r="AQ48" s="67">
        <f t="shared" si="146"/>
        <v>27.337999999999997</v>
      </c>
      <c r="AR48" s="57">
        <f t="shared" si="107"/>
        <v>10.530000000000001</v>
      </c>
      <c r="AS48" s="57">
        <f t="shared" si="108"/>
        <v>33.6</v>
      </c>
      <c r="AT48" s="140">
        <f t="shared" si="147"/>
        <v>1.9480000000000022</v>
      </c>
      <c r="AU48" s="140">
        <f t="shared" si="148"/>
        <v>6.262000000000004</v>
      </c>
      <c r="AV48" s="67">
        <v>7.12</v>
      </c>
      <c r="AW48" s="67">
        <v>23.564</v>
      </c>
      <c r="AX48" s="57">
        <v>6.73</v>
      </c>
      <c r="AY48" s="57">
        <v>22.6</v>
      </c>
      <c r="AZ48" s="140">
        <f t="shared" si="149"/>
        <v>-0.38999999999999968</v>
      </c>
      <c r="BA48" s="140">
        <f t="shared" si="150"/>
        <v>-0.96399999999999864</v>
      </c>
      <c r="BB48" s="67">
        <f t="shared" si="151"/>
        <v>15.544999999999998</v>
      </c>
      <c r="BC48" s="67">
        <f t="shared" si="131"/>
        <v>50.388999999999996</v>
      </c>
      <c r="BD48" s="57">
        <v>17.260000000000002</v>
      </c>
      <c r="BE48" s="57">
        <v>56.2</v>
      </c>
      <c r="BF48" s="140">
        <f t="shared" si="152"/>
        <v>1.7150000000000034</v>
      </c>
      <c r="BG48" s="241">
        <f t="shared" si="153"/>
        <v>5.811000000000007</v>
      </c>
      <c r="BH48" s="348">
        <v>15.65</v>
      </c>
      <c r="BI48" s="216">
        <v>26.72</v>
      </c>
    </row>
    <row r="49" spans="1:61" ht="15.75" thickBot="1" x14ac:dyDescent="0.3">
      <c r="A49" s="29" t="s">
        <v>106</v>
      </c>
      <c r="B49" s="3">
        <v>9.34</v>
      </c>
      <c r="C49" s="3">
        <v>15.3</v>
      </c>
      <c r="D49" s="44">
        <v>7.9969999999999999</v>
      </c>
      <c r="E49" s="48">
        <v>11.45</v>
      </c>
      <c r="F49" s="5">
        <f t="shared" si="99"/>
        <v>1.343</v>
      </c>
      <c r="G49" s="52">
        <f t="shared" si="99"/>
        <v>3.8500000000000014</v>
      </c>
      <c r="H49" s="6">
        <v>7.5</v>
      </c>
      <c r="I49" s="6">
        <v>11.6</v>
      </c>
      <c r="J49" s="40">
        <f t="shared" si="132"/>
        <v>-0.49699999999999989</v>
      </c>
      <c r="K49" s="40">
        <f t="shared" si="133"/>
        <v>0.15000000000000036</v>
      </c>
      <c r="L49" s="3">
        <v>2.02</v>
      </c>
      <c r="M49" s="3">
        <v>3.3</v>
      </c>
      <c r="N49" s="4">
        <v>2.0099999999999998</v>
      </c>
      <c r="O49" s="48">
        <v>3.2989999999999999</v>
      </c>
      <c r="P49" s="5">
        <f t="shared" si="102"/>
        <v>1.0000000000000231E-2</v>
      </c>
      <c r="Q49" s="5">
        <f t="shared" si="102"/>
        <v>9.9999999999988987E-4</v>
      </c>
      <c r="R49" s="6">
        <v>2.16</v>
      </c>
      <c r="S49" s="6">
        <v>3.34</v>
      </c>
      <c r="T49" s="7">
        <f t="shared" si="134"/>
        <v>0.15000000000000036</v>
      </c>
      <c r="U49" s="7">
        <f t="shared" si="134"/>
        <v>4.0999999999999925E-2</v>
      </c>
      <c r="V49" s="3">
        <f t="shared" si="135"/>
        <v>11.36</v>
      </c>
      <c r="W49" s="3">
        <f t="shared" si="136"/>
        <v>18.600000000000001</v>
      </c>
      <c r="X49" s="56">
        <f t="shared" si="137"/>
        <v>10.016999999999999</v>
      </c>
      <c r="Y49" s="56">
        <f t="shared" si="138"/>
        <v>14.75</v>
      </c>
      <c r="Z49" s="5">
        <f t="shared" si="139"/>
        <v>1.343</v>
      </c>
      <c r="AA49" s="5">
        <f t="shared" si="139"/>
        <v>3.8500000000000014</v>
      </c>
      <c r="AB49" s="11">
        <v>9.66</v>
      </c>
      <c r="AC49" s="11">
        <v>14.94</v>
      </c>
      <c r="AD49" s="12">
        <f t="shared" si="140"/>
        <v>-0.35699999999999932</v>
      </c>
      <c r="AE49" s="12">
        <f t="shared" si="140"/>
        <v>0.1899999999999995</v>
      </c>
      <c r="AF49" s="57">
        <v>0.52</v>
      </c>
      <c r="AG49" s="57">
        <v>0.9</v>
      </c>
      <c r="AH49" s="58">
        <v>0.55000000000000004</v>
      </c>
      <c r="AI49" s="59">
        <v>0.94099999999999995</v>
      </c>
      <c r="AJ49" s="5">
        <f t="shared" si="141"/>
        <v>-3.0000000000000027E-2</v>
      </c>
      <c r="AK49" s="52">
        <f t="shared" si="142"/>
        <v>-4.0999999999999925E-2</v>
      </c>
      <c r="AL49" s="6">
        <v>0.23</v>
      </c>
      <c r="AM49" s="6">
        <v>0.38</v>
      </c>
      <c r="AN49" s="12">
        <f t="shared" si="143"/>
        <v>-0.32000000000000006</v>
      </c>
      <c r="AO49" s="65">
        <f t="shared" si="144"/>
        <v>-0.56099999999999994</v>
      </c>
      <c r="AP49" s="67">
        <f t="shared" si="145"/>
        <v>10.567</v>
      </c>
      <c r="AQ49" s="67">
        <f t="shared" si="146"/>
        <v>15.691000000000001</v>
      </c>
      <c r="AR49" s="57">
        <f t="shared" si="107"/>
        <v>11.879999999999999</v>
      </c>
      <c r="AS49" s="57">
        <f t="shared" si="108"/>
        <v>19.5</v>
      </c>
      <c r="AT49" s="140">
        <f t="shared" si="147"/>
        <v>1.3129999999999988</v>
      </c>
      <c r="AU49" s="140">
        <f t="shared" si="148"/>
        <v>3.8089999999999993</v>
      </c>
      <c r="AV49" s="67">
        <v>5.7649999999999997</v>
      </c>
      <c r="AW49" s="67">
        <v>9.8580000000000005</v>
      </c>
      <c r="AX49" s="57">
        <v>7.59</v>
      </c>
      <c r="AY49" s="57">
        <v>13</v>
      </c>
      <c r="AZ49" s="140">
        <f t="shared" si="149"/>
        <v>1.8250000000000002</v>
      </c>
      <c r="BA49" s="140">
        <f t="shared" si="150"/>
        <v>3.1419999999999995</v>
      </c>
      <c r="BB49" s="67">
        <f t="shared" si="151"/>
        <v>16.321999999999999</v>
      </c>
      <c r="BC49" s="67">
        <f t="shared" si="131"/>
        <v>25.548000000000002</v>
      </c>
      <c r="BD49" s="57">
        <v>19.47</v>
      </c>
      <c r="BE49" s="57">
        <v>32.5</v>
      </c>
      <c r="BF49" s="140">
        <f t="shared" si="152"/>
        <v>3.1479999999999997</v>
      </c>
      <c r="BG49" s="241">
        <f t="shared" si="153"/>
        <v>6.9519999999999982</v>
      </c>
      <c r="BH49" s="348">
        <v>16.27</v>
      </c>
      <c r="BI49" s="216">
        <v>19.62</v>
      </c>
    </row>
    <row r="50" spans="1:61" ht="15.75" thickBot="1" x14ac:dyDescent="0.3">
      <c r="A50" s="29" t="s">
        <v>31</v>
      </c>
      <c r="B50" s="3">
        <v>37.15</v>
      </c>
      <c r="C50" s="3">
        <v>61</v>
      </c>
      <c r="D50" s="44">
        <v>37.15</v>
      </c>
      <c r="E50" s="48">
        <v>60.969000000000001</v>
      </c>
      <c r="F50" s="5">
        <f t="shared" si="99"/>
        <v>0</v>
      </c>
      <c r="G50" s="52">
        <f t="shared" si="99"/>
        <v>3.0999999999998806E-2</v>
      </c>
      <c r="H50" s="6">
        <v>37.15</v>
      </c>
      <c r="I50" s="6">
        <v>57.48</v>
      </c>
      <c r="J50" s="40">
        <f t="shared" si="132"/>
        <v>0</v>
      </c>
      <c r="K50" s="40">
        <f t="shared" si="133"/>
        <v>-3.4890000000000043</v>
      </c>
      <c r="L50" s="3">
        <v>8.06</v>
      </c>
      <c r="M50" s="3">
        <v>13.2</v>
      </c>
      <c r="N50" s="4">
        <v>8.06</v>
      </c>
      <c r="O50" s="48">
        <v>13.228</v>
      </c>
      <c r="P50" s="5">
        <f t="shared" si="102"/>
        <v>0</v>
      </c>
      <c r="Q50" s="5">
        <f t="shared" si="102"/>
        <v>-2.8000000000000469E-2</v>
      </c>
      <c r="R50" s="6">
        <v>8.06</v>
      </c>
      <c r="S50" s="6">
        <v>12.47</v>
      </c>
      <c r="T50" s="7">
        <f t="shared" si="134"/>
        <v>0</v>
      </c>
      <c r="U50" s="7">
        <f t="shared" si="134"/>
        <v>-0.75799999999999912</v>
      </c>
      <c r="V50" s="3">
        <f t="shared" si="135"/>
        <v>45.21</v>
      </c>
      <c r="W50" s="3">
        <f t="shared" si="136"/>
        <v>74.2</v>
      </c>
      <c r="X50" s="56">
        <f t="shared" si="137"/>
        <v>45.21</v>
      </c>
      <c r="Y50" s="56">
        <f t="shared" si="138"/>
        <v>74.168999999999997</v>
      </c>
      <c r="Z50" s="5">
        <f t="shared" si="139"/>
        <v>0</v>
      </c>
      <c r="AA50" s="5">
        <f t="shared" si="139"/>
        <v>3.1000000000005912E-2</v>
      </c>
      <c r="AB50" s="11">
        <v>45.21</v>
      </c>
      <c r="AC50" s="11">
        <v>69.95</v>
      </c>
      <c r="AD50" s="12">
        <f t="shared" si="140"/>
        <v>0</v>
      </c>
      <c r="AE50" s="12">
        <f t="shared" si="140"/>
        <v>-4.2189999999999941</v>
      </c>
      <c r="AF50" s="57">
        <v>2.09</v>
      </c>
      <c r="AG50" s="57">
        <v>3.6</v>
      </c>
      <c r="AH50" s="58">
        <v>2.09</v>
      </c>
      <c r="AI50" s="59">
        <v>3.5739999999999998</v>
      </c>
      <c r="AJ50" s="5">
        <f t="shared" si="141"/>
        <v>0</v>
      </c>
      <c r="AK50" s="52">
        <f t="shared" si="142"/>
        <v>2.6000000000000245E-2</v>
      </c>
      <c r="AL50" s="6">
        <v>2.09</v>
      </c>
      <c r="AM50" s="6">
        <v>3.43</v>
      </c>
      <c r="AN50" s="12">
        <f t="shared" si="143"/>
        <v>0</v>
      </c>
      <c r="AO50" s="65">
        <f t="shared" si="144"/>
        <v>-0.14399999999999968</v>
      </c>
      <c r="AP50" s="67">
        <f t="shared" si="145"/>
        <v>47.3</v>
      </c>
      <c r="AQ50" s="67">
        <f t="shared" si="146"/>
        <v>77.742999999999995</v>
      </c>
      <c r="AR50" s="57">
        <f t="shared" si="107"/>
        <v>47.3</v>
      </c>
      <c r="AS50" s="57">
        <f t="shared" si="108"/>
        <v>77.8</v>
      </c>
      <c r="AT50" s="140">
        <f t="shared" si="147"/>
        <v>0</v>
      </c>
      <c r="AU50" s="140">
        <f t="shared" si="148"/>
        <v>5.700000000000216E-2</v>
      </c>
      <c r="AV50" s="67">
        <v>30.22</v>
      </c>
      <c r="AW50" s="67">
        <v>51.676000000000002</v>
      </c>
      <c r="AX50" s="57">
        <v>30.22</v>
      </c>
      <c r="AY50" s="57">
        <v>51.7</v>
      </c>
      <c r="AZ50" s="140">
        <f t="shared" si="149"/>
        <v>0</v>
      </c>
      <c r="BA50" s="140">
        <f t="shared" si="150"/>
        <v>2.4000000000000909E-2</v>
      </c>
      <c r="BB50" s="67">
        <f t="shared" si="151"/>
        <v>77.52</v>
      </c>
      <c r="BC50" s="67">
        <f t="shared" si="131"/>
        <v>129.447</v>
      </c>
      <c r="BD50" s="57">
        <v>77.52</v>
      </c>
      <c r="BE50" s="57">
        <v>129.5</v>
      </c>
      <c r="BF50" s="140">
        <f t="shared" si="152"/>
        <v>0</v>
      </c>
      <c r="BG50" s="241">
        <f t="shared" si="153"/>
        <v>5.2999999999997272E-2</v>
      </c>
      <c r="BH50" s="348">
        <v>77.52</v>
      </c>
      <c r="BI50" s="216">
        <v>17.66</v>
      </c>
    </row>
    <row r="51" spans="1:61" ht="15.75" thickBot="1" x14ac:dyDescent="0.3">
      <c r="A51" s="29" t="s">
        <v>29</v>
      </c>
      <c r="B51" s="3">
        <v>13.77</v>
      </c>
      <c r="C51" s="3">
        <v>22.6</v>
      </c>
      <c r="D51" s="44">
        <v>13.77</v>
      </c>
      <c r="E51" s="48">
        <v>22.599</v>
      </c>
      <c r="F51" s="5">
        <f t="shared" si="99"/>
        <v>0</v>
      </c>
      <c r="G51" s="52">
        <f t="shared" si="99"/>
        <v>1.0000000000012221E-3</v>
      </c>
      <c r="H51" s="6">
        <v>13.77</v>
      </c>
      <c r="I51" s="6">
        <v>21.3</v>
      </c>
      <c r="J51" s="40">
        <f t="shared" si="132"/>
        <v>0</v>
      </c>
      <c r="K51" s="40">
        <f t="shared" si="133"/>
        <v>-1.2989999999999995</v>
      </c>
      <c r="L51" s="3">
        <v>2.99</v>
      </c>
      <c r="M51" s="3">
        <v>4.9000000000000004</v>
      </c>
      <c r="N51" s="4">
        <v>2.99</v>
      </c>
      <c r="O51" s="48">
        <v>4.907</v>
      </c>
      <c r="P51" s="5">
        <f t="shared" si="102"/>
        <v>0</v>
      </c>
      <c r="Q51" s="5">
        <f t="shared" si="102"/>
        <v>-6.9999999999996732E-3</v>
      </c>
      <c r="R51" s="6">
        <v>2.99</v>
      </c>
      <c r="S51" s="6">
        <v>4.5999999999999996</v>
      </c>
      <c r="T51" s="7">
        <f t="shared" si="134"/>
        <v>0</v>
      </c>
      <c r="U51" s="7">
        <f t="shared" si="134"/>
        <v>-0.30700000000000038</v>
      </c>
      <c r="V51" s="3">
        <f t="shared" si="135"/>
        <v>16.759999999999998</v>
      </c>
      <c r="W51" s="3">
        <f t="shared" si="136"/>
        <v>27.5</v>
      </c>
      <c r="X51" s="56">
        <f t="shared" si="137"/>
        <v>16.759999999999998</v>
      </c>
      <c r="Y51" s="56">
        <f t="shared" si="138"/>
        <v>27.499000000000002</v>
      </c>
      <c r="Z51" s="5">
        <f t="shared" si="139"/>
        <v>0</v>
      </c>
      <c r="AA51" s="5">
        <f t="shared" si="139"/>
        <v>9.9999999999766942E-4</v>
      </c>
      <c r="AB51" s="11">
        <v>16.760000000000002</v>
      </c>
      <c r="AC51" s="11">
        <v>25.9</v>
      </c>
      <c r="AD51" s="12">
        <f t="shared" si="140"/>
        <v>0</v>
      </c>
      <c r="AE51" s="12">
        <f t="shared" si="140"/>
        <v>-1.5990000000000038</v>
      </c>
      <c r="AF51" s="57">
        <v>0.78</v>
      </c>
      <c r="AG51" s="57">
        <v>1.4</v>
      </c>
      <c r="AH51" s="58">
        <v>0.78</v>
      </c>
      <c r="AI51" s="59">
        <v>1.3340000000000001</v>
      </c>
      <c r="AJ51" s="5">
        <f t="shared" si="141"/>
        <v>0</v>
      </c>
      <c r="AK51" s="52">
        <f t="shared" si="142"/>
        <v>6.5999999999999837E-2</v>
      </c>
      <c r="AL51" s="6">
        <v>0.78</v>
      </c>
      <c r="AM51" s="6">
        <v>1.3</v>
      </c>
      <c r="AN51" s="12">
        <f t="shared" si="143"/>
        <v>0</v>
      </c>
      <c r="AO51" s="65">
        <f t="shared" si="144"/>
        <v>-3.400000000000003E-2</v>
      </c>
      <c r="AP51" s="67">
        <f t="shared" si="145"/>
        <v>17.54</v>
      </c>
      <c r="AQ51" s="67">
        <f t="shared" si="146"/>
        <v>28.833000000000002</v>
      </c>
      <c r="AR51" s="57">
        <f t="shared" si="107"/>
        <v>17.54</v>
      </c>
      <c r="AS51" s="57">
        <f t="shared" si="108"/>
        <v>28.9</v>
      </c>
      <c r="AT51" s="140">
        <f t="shared" si="147"/>
        <v>0</v>
      </c>
      <c r="AU51" s="140">
        <f t="shared" si="148"/>
        <v>6.6999999999996618E-2</v>
      </c>
      <c r="AV51" s="67">
        <v>11.21</v>
      </c>
      <c r="AW51" s="67">
        <v>19.169</v>
      </c>
      <c r="AX51" s="57">
        <v>11.21</v>
      </c>
      <c r="AY51" s="57">
        <v>19.2</v>
      </c>
      <c r="AZ51" s="140">
        <f t="shared" si="149"/>
        <v>0</v>
      </c>
      <c r="BA51" s="140">
        <f t="shared" si="150"/>
        <v>3.0999999999998806E-2</v>
      </c>
      <c r="BB51" s="67">
        <f t="shared" si="151"/>
        <v>28.75</v>
      </c>
      <c r="BC51" s="67">
        <f t="shared" si="131"/>
        <v>48.009</v>
      </c>
      <c r="BD51" s="57">
        <v>28.75</v>
      </c>
      <c r="BE51" s="57">
        <v>48.1</v>
      </c>
      <c r="BF51" s="140">
        <f t="shared" si="152"/>
        <v>0</v>
      </c>
      <c r="BG51" s="241">
        <f t="shared" si="153"/>
        <v>9.100000000000108E-2</v>
      </c>
      <c r="BH51" s="348">
        <v>28.75</v>
      </c>
      <c r="BI51" s="216">
        <v>58.74</v>
      </c>
    </row>
    <row r="52" spans="1:61" ht="15.75" thickBot="1" x14ac:dyDescent="0.3">
      <c r="A52" s="29" t="s">
        <v>37</v>
      </c>
      <c r="B52" s="3">
        <v>25.67</v>
      </c>
      <c r="C52" s="3">
        <v>81.5</v>
      </c>
      <c r="D52" s="44">
        <v>25.67</v>
      </c>
      <c r="E52" s="48">
        <v>81.533000000000001</v>
      </c>
      <c r="F52" s="5">
        <f t="shared" si="99"/>
        <v>0</v>
      </c>
      <c r="G52" s="52">
        <f t="shared" si="99"/>
        <v>-3.3000000000001251E-2</v>
      </c>
      <c r="H52" s="6">
        <v>25.67</v>
      </c>
      <c r="I52" s="6">
        <v>75.17</v>
      </c>
      <c r="J52" s="40">
        <f t="shared" si="132"/>
        <v>0</v>
      </c>
      <c r="K52" s="40">
        <f t="shared" si="133"/>
        <v>-6.3629999999999995</v>
      </c>
      <c r="L52" s="3">
        <v>5.58</v>
      </c>
      <c r="M52" s="3">
        <v>17.7</v>
      </c>
      <c r="N52" s="4">
        <v>5.58</v>
      </c>
      <c r="O52" s="48">
        <v>17.722999999999999</v>
      </c>
      <c r="P52" s="5">
        <f t="shared" si="102"/>
        <v>0</v>
      </c>
      <c r="Q52" s="5">
        <f t="shared" si="102"/>
        <v>-2.2999999999999687E-2</v>
      </c>
      <c r="R52" s="6">
        <v>5.58</v>
      </c>
      <c r="S52" s="6">
        <v>16.34</v>
      </c>
      <c r="T52" s="7">
        <f t="shared" si="134"/>
        <v>0</v>
      </c>
      <c r="U52" s="7">
        <f t="shared" si="134"/>
        <v>-1.3829999999999991</v>
      </c>
      <c r="V52" s="3">
        <f t="shared" si="135"/>
        <v>31.25</v>
      </c>
      <c r="W52" s="3">
        <f t="shared" si="136"/>
        <v>99.2</v>
      </c>
      <c r="X52" s="56">
        <f t="shared" si="137"/>
        <v>31.25</v>
      </c>
      <c r="Y52" s="56">
        <f t="shared" si="138"/>
        <v>99.233000000000004</v>
      </c>
      <c r="Z52" s="5">
        <f t="shared" si="139"/>
        <v>0</v>
      </c>
      <c r="AA52" s="5">
        <f t="shared" si="139"/>
        <v>-3.3000000000001251E-2</v>
      </c>
      <c r="AB52" s="11">
        <v>31.25</v>
      </c>
      <c r="AC52" s="11">
        <v>91.51</v>
      </c>
      <c r="AD52" s="12">
        <f t="shared" si="140"/>
        <v>0</v>
      </c>
      <c r="AE52" s="12">
        <f t="shared" si="140"/>
        <v>-7.722999999999999</v>
      </c>
      <c r="AF52" s="57">
        <v>1.45</v>
      </c>
      <c r="AG52" s="57">
        <v>4.9000000000000004</v>
      </c>
      <c r="AH52" s="58">
        <v>1.45</v>
      </c>
      <c r="AI52" s="59">
        <v>4.7990000000000004</v>
      </c>
      <c r="AJ52" s="5">
        <f t="shared" si="141"/>
        <v>0</v>
      </c>
      <c r="AK52" s="52">
        <f t="shared" si="142"/>
        <v>0.10099999999999998</v>
      </c>
      <c r="AL52" s="6">
        <v>0.41</v>
      </c>
      <c r="AM52" s="6">
        <v>1.3</v>
      </c>
      <c r="AN52" s="12">
        <f t="shared" si="143"/>
        <v>-1.04</v>
      </c>
      <c r="AO52" s="65">
        <f t="shared" si="144"/>
        <v>-3.4990000000000006</v>
      </c>
      <c r="AP52" s="67">
        <f t="shared" si="145"/>
        <v>32.700000000000003</v>
      </c>
      <c r="AQ52" s="67">
        <f t="shared" si="146"/>
        <v>104.03200000000001</v>
      </c>
      <c r="AR52" s="57">
        <f t="shared" si="107"/>
        <v>32.700000000000003</v>
      </c>
      <c r="AS52" s="57">
        <f t="shared" si="108"/>
        <v>104.10000000000001</v>
      </c>
      <c r="AT52" s="140">
        <f t="shared" si="147"/>
        <v>0</v>
      </c>
      <c r="AU52" s="140">
        <f t="shared" si="148"/>
        <v>6.799999999999784E-2</v>
      </c>
      <c r="AV52" s="67">
        <v>20.88</v>
      </c>
      <c r="AW52" s="67">
        <v>69.103999999999999</v>
      </c>
      <c r="AX52" s="57">
        <v>20.88</v>
      </c>
      <c r="AY52" s="57">
        <v>70.2</v>
      </c>
      <c r="AZ52" s="140">
        <f t="shared" si="149"/>
        <v>0</v>
      </c>
      <c r="BA52" s="140">
        <f t="shared" si="150"/>
        <v>1.0960000000000036</v>
      </c>
      <c r="BB52" s="67">
        <f t="shared" si="151"/>
        <v>53.58</v>
      </c>
      <c r="BC52" s="67">
        <f t="shared" si="131"/>
        <v>173.15899999999999</v>
      </c>
      <c r="BD52" s="57">
        <v>53.58</v>
      </c>
      <c r="BE52" s="57">
        <v>174.3</v>
      </c>
      <c r="BF52" s="140">
        <f t="shared" si="152"/>
        <v>0</v>
      </c>
      <c r="BG52" s="241">
        <f t="shared" si="153"/>
        <v>1.1410000000000196</v>
      </c>
      <c r="BH52" s="348">
        <v>53.58</v>
      </c>
      <c r="BI52" s="216">
        <v>0</v>
      </c>
    </row>
    <row r="53" spans="1:61" ht="15.75" thickBot="1" x14ac:dyDescent="0.3">
      <c r="A53" s="29" t="s">
        <v>107</v>
      </c>
      <c r="B53" s="3">
        <v>12.71</v>
      </c>
      <c r="C53" s="3">
        <v>20.9</v>
      </c>
      <c r="D53" s="44">
        <v>8.2799999999999994</v>
      </c>
      <c r="E53" s="48">
        <v>13.589</v>
      </c>
      <c r="F53" s="5">
        <f t="shared" si="99"/>
        <v>4.4300000000000015</v>
      </c>
      <c r="G53" s="52">
        <f t="shared" si="99"/>
        <v>7.3109999999999982</v>
      </c>
      <c r="H53" s="6">
        <v>9.19</v>
      </c>
      <c r="I53" s="6">
        <v>14.22</v>
      </c>
      <c r="J53" s="40">
        <f t="shared" si="132"/>
        <v>0.91000000000000014</v>
      </c>
      <c r="K53" s="40">
        <f t="shared" si="133"/>
        <v>0.63100000000000023</v>
      </c>
      <c r="L53" s="3">
        <v>2.75</v>
      </c>
      <c r="M53" s="3">
        <v>4.5</v>
      </c>
      <c r="N53" s="4">
        <v>2.7669999999999999</v>
      </c>
      <c r="O53" s="48">
        <v>4.5410000000000004</v>
      </c>
      <c r="P53" s="5">
        <f t="shared" si="102"/>
        <v>-1.6999999999999904E-2</v>
      </c>
      <c r="Q53" s="5">
        <f t="shared" si="102"/>
        <v>-4.1000000000000369E-2</v>
      </c>
      <c r="R53" s="6">
        <v>2.92</v>
      </c>
      <c r="S53" s="6">
        <v>4.5199999999999996</v>
      </c>
      <c r="T53" s="7">
        <f t="shared" si="134"/>
        <v>0.15300000000000002</v>
      </c>
      <c r="U53" s="7">
        <f t="shared" si="134"/>
        <v>-2.1000000000000796E-2</v>
      </c>
      <c r="V53" s="3">
        <f t="shared" si="135"/>
        <v>15.46</v>
      </c>
      <c r="W53" s="3">
        <f t="shared" si="136"/>
        <v>25.4</v>
      </c>
      <c r="X53" s="56">
        <f t="shared" si="137"/>
        <v>11.03</v>
      </c>
      <c r="Y53" s="56">
        <f t="shared" si="138"/>
        <v>18.088999999999999</v>
      </c>
      <c r="Z53" s="5">
        <f t="shared" si="139"/>
        <v>4.4300000000000015</v>
      </c>
      <c r="AA53" s="5">
        <f t="shared" si="139"/>
        <v>7.3109999999999999</v>
      </c>
      <c r="AB53" s="11">
        <v>12.11</v>
      </c>
      <c r="AC53" s="11">
        <v>18.739999999999998</v>
      </c>
      <c r="AD53" s="12">
        <f t="shared" si="140"/>
        <v>1.08</v>
      </c>
      <c r="AE53" s="12">
        <f t="shared" si="140"/>
        <v>0.6509999999999998</v>
      </c>
      <c r="AF53" s="57">
        <v>0.71</v>
      </c>
      <c r="AG53" s="57">
        <v>1.2</v>
      </c>
      <c r="AH53" s="58">
        <v>0.77</v>
      </c>
      <c r="AI53" s="59">
        <v>1.3169999999999999</v>
      </c>
      <c r="AJ53" s="5">
        <f t="shared" si="141"/>
        <v>-6.0000000000000053E-2</v>
      </c>
      <c r="AK53" s="52">
        <f t="shared" si="142"/>
        <v>-0.11699999999999999</v>
      </c>
      <c r="AL53" s="6">
        <v>0.77</v>
      </c>
      <c r="AM53" s="6">
        <v>1.3</v>
      </c>
      <c r="AN53" s="12">
        <f t="shared" si="143"/>
        <v>0</v>
      </c>
      <c r="AO53" s="65">
        <f t="shared" si="144"/>
        <v>-1.6999999999999904E-2</v>
      </c>
      <c r="AP53" s="67">
        <f t="shared" si="145"/>
        <v>11.799999999999999</v>
      </c>
      <c r="AQ53" s="67">
        <f t="shared" si="146"/>
        <v>19.405999999999999</v>
      </c>
      <c r="AR53" s="57">
        <f t="shared" si="107"/>
        <v>16.170000000000002</v>
      </c>
      <c r="AS53" s="57">
        <f t="shared" si="108"/>
        <v>26.599999999999998</v>
      </c>
      <c r="AT53" s="140">
        <f t="shared" si="147"/>
        <v>4.3700000000000028</v>
      </c>
      <c r="AU53" s="140">
        <f t="shared" si="148"/>
        <v>7.1939999999999991</v>
      </c>
      <c r="AV53" s="67">
        <v>7.06</v>
      </c>
      <c r="AW53" s="67">
        <v>12.073</v>
      </c>
      <c r="AX53" s="57">
        <v>10.33</v>
      </c>
      <c r="AY53" s="57">
        <v>18</v>
      </c>
      <c r="AZ53" s="140">
        <f t="shared" si="149"/>
        <v>3.2700000000000005</v>
      </c>
      <c r="BA53" s="140">
        <f t="shared" si="150"/>
        <v>5.9269999999999996</v>
      </c>
      <c r="BB53" s="67">
        <f t="shared" si="151"/>
        <v>18.876999999999999</v>
      </c>
      <c r="BC53" s="67">
        <f t="shared" si="131"/>
        <v>31.520000000000003</v>
      </c>
      <c r="BD53" s="57">
        <v>26.5</v>
      </c>
      <c r="BE53" s="57">
        <v>44.6</v>
      </c>
      <c r="BF53" s="140">
        <f t="shared" si="152"/>
        <v>7.6230000000000011</v>
      </c>
      <c r="BG53" s="241">
        <f t="shared" si="153"/>
        <v>13.079999999999998</v>
      </c>
      <c r="BH53" s="348">
        <v>20.9</v>
      </c>
      <c r="BI53" s="216"/>
    </row>
    <row r="54" spans="1:61" ht="15.75" thickBot="1" x14ac:dyDescent="0.3">
      <c r="A54" s="29" t="s">
        <v>133</v>
      </c>
      <c r="B54" s="3">
        <v>24.22</v>
      </c>
      <c r="C54" s="3">
        <v>39.799999999999997</v>
      </c>
      <c r="D54" s="44">
        <v>23.84</v>
      </c>
      <c r="E54" s="48">
        <v>39.125</v>
      </c>
      <c r="F54" s="5">
        <f t="shared" si="99"/>
        <v>0.37999999999999901</v>
      </c>
      <c r="G54" s="52">
        <f t="shared" si="99"/>
        <v>0.67499999999999716</v>
      </c>
      <c r="H54" s="6"/>
      <c r="I54" s="6"/>
      <c r="J54" s="40">
        <f t="shared" si="132"/>
        <v>-23.84</v>
      </c>
      <c r="K54" s="40">
        <f t="shared" si="133"/>
        <v>-39.125</v>
      </c>
      <c r="L54" s="3">
        <v>5.1100000000000003</v>
      </c>
      <c r="M54" s="3">
        <v>8.4</v>
      </c>
      <c r="N54" s="4">
        <v>5.18</v>
      </c>
      <c r="O54" s="48">
        <v>8.5009999999999994</v>
      </c>
      <c r="P54" s="5">
        <f t="shared" si="102"/>
        <v>-6.9999999999999396E-2</v>
      </c>
      <c r="Q54" s="5">
        <f t="shared" si="102"/>
        <v>-0.10099999999999909</v>
      </c>
      <c r="R54" s="6"/>
      <c r="S54" s="6"/>
      <c r="T54" s="7">
        <f t="shared" si="134"/>
        <v>-5.18</v>
      </c>
      <c r="U54" s="7">
        <f t="shared" si="134"/>
        <v>-8.5009999999999994</v>
      </c>
      <c r="V54" s="3">
        <f t="shared" si="135"/>
        <v>29.33</v>
      </c>
      <c r="W54" s="3">
        <f t="shared" si="136"/>
        <v>48.199999999999996</v>
      </c>
      <c r="X54" s="56">
        <f t="shared" si="137"/>
        <v>28.95</v>
      </c>
      <c r="Y54" s="56">
        <f t="shared" si="138"/>
        <v>47.524999999999999</v>
      </c>
      <c r="Z54" s="5">
        <f t="shared" si="139"/>
        <v>0.37999999999999901</v>
      </c>
      <c r="AA54" s="5">
        <f t="shared" si="139"/>
        <v>0.67499999999999716</v>
      </c>
      <c r="AB54" s="11"/>
      <c r="AC54" s="11"/>
      <c r="AD54" s="12">
        <f t="shared" si="140"/>
        <v>-28.95</v>
      </c>
      <c r="AE54" s="12">
        <f t="shared" si="140"/>
        <v>-47.524999999999999</v>
      </c>
      <c r="AF54" s="57">
        <v>1.32</v>
      </c>
      <c r="AG54" s="57">
        <v>2.2999999999999998</v>
      </c>
      <c r="AH54" s="58">
        <v>1.34</v>
      </c>
      <c r="AI54" s="59">
        <v>2.2909999999999999</v>
      </c>
      <c r="AJ54" s="5">
        <f t="shared" si="141"/>
        <v>-2.0000000000000018E-2</v>
      </c>
      <c r="AK54" s="52">
        <f t="shared" si="142"/>
        <v>8.999999999999897E-3</v>
      </c>
      <c r="AL54" s="6"/>
      <c r="AM54" s="6"/>
      <c r="AN54" s="12">
        <f t="shared" si="143"/>
        <v>-1.34</v>
      </c>
      <c r="AO54" s="65">
        <f t="shared" si="144"/>
        <v>-2.2909999999999999</v>
      </c>
      <c r="AP54" s="67">
        <f t="shared" si="145"/>
        <v>30.29</v>
      </c>
      <c r="AQ54" s="67">
        <f t="shared" si="146"/>
        <v>49.815999999999995</v>
      </c>
      <c r="AR54" s="57">
        <f t="shared" si="107"/>
        <v>30.65</v>
      </c>
      <c r="AS54" s="57">
        <f t="shared" si="108"/>
        <v>50.499999999999993</v>
      </c>
      <c r="AT54" s="140">
        <f t="shared" si="147"/>
        <v>0.35999999999999943</v>
      </c>
      <c r="AU54" s="140">
        <f t="shared" si="148"/>
        <v>0.6839999999999975</v>
      </c>
      <c r="AV54" s="67">
        <v>19.399999999999999</v>
      </c>
      <c r="AW54" s="67">
        <v>33.173999999999999</v>
      </c>
      <c r="AX54" s="57">
        <v>19.11</v>
      </c>
      <c r="AY54" s="57">
        <v>32.700000000000003</v>
      </c>
      <c r="AZ54" s="140">
        <f t="shared" si="149"/>
        <v>-0.28999999999999915</v>
      </c>
      <c r="BA54" s="140">
        <f t="shared" si="150"/>
        <v>-0.47399999999999665</v>
      </c>
      <c r="BB54" s="67">
        <f t="shared" si="151"/>
        <v>49.76</v>
      </c>
      <c r="BC54" s="67">
        <f t="shared" si="131"/>
        <v>83.090999999999994</v>
      </c>
      <c r="BD54" s="57">
        <v>49.76</v>
      </c>
      <c r="BE54" s="57">
        <v>83.2</v>
      </c>
      <c r="BF54" s="140">
        <f t="shared" si="152"/>
        <v>0</v>
      </c>
      <c r="BG54" s="241">
        <f t="shared" si="153"/>
        <v>0.10900000000000887</v>
      </c>
      <c r="BH54" s="348">
        <v>19.399999999999999</v>
      </c>
      <c r="BI54" s="216"/>
    </row>
    <row r="55" spans="1:61" ht="15.75" thickBot="1" x14ac:dyDescent="0.3">
      <c r="A55" s="30" t="s">
        <v>28</v>
      </c>
      <c r="B55" s="3">
        <v>18.18</v>
      </c>
      <c r="C55" s="3">
        <v>29.8</v>
      </c>
      <c r="D55" s="44">
        <v>14.891999999999999</v>
      </c>
      <c r="E55" s="48">
        <v>24.44</v>
      </c>
      <c r="F55" s="5">
        <f>B55-D55</f>
        <v>3.2880000000000003</v>
      </c>
      <c r="G55" s="52">
        <f>C55-E55</f>
        <v>5.3599999999999994</v>
      </c>
      <c r="H55" s="6">
        <v>13.45</v>
      </c>
      <c r="I55" s="6">
        <v>20.82</v>
      </c>
      <c r="J55" s="40">
        <f t="shared" si="132"/>
        <v>-1.4420000000000002</v>
      </c>
      <c r="K55" s="40">
        <f t="shared" si="133"/>
        <v>-3.620000000000001</v>
      </c>
      <c r="L55" s="3">
        <v>3.94</v>
      </c>
      <c r="M55" s="3">
        <v>6.5</v>
      </c>
      <c r="N55" s="4">
        <v>3.8250000000000002</v>
      </c>
      <c r="O55" s="48">
        <v>6.2770000000000001</v>
      </c>
      <c r="P55" s="5">
        <f>L55-N55</f>
        <v>0.11499999999999977</v>
      </c>
      <c r="Q55" s="5">
        <f>M55-O55</f>
        <v>0.22299999999999986</v>
      </c>
      <c r="R55" s="6">
        <v>3.8</v>
      </c>
      <c r="S55" s="6">
        <v>5.88</v>
      </c>
      <c r="T55" s="7">
        <f t="shared" si="134"/>
        <v>-2.5000000000000355E-2</v>
      </c>
      <c r="U55" s="7">
        <f t="shared" si="134"/>
        <v>-0.39700000000000024</v>
      </c>
      <c r="V55" s="3">
        <f t="shared" si="135"/>
        <v>22.12</v>
      </c>
      <c r="W55" s="3">
        <f t="shared" si="136"/>
        <v>36.299999999999997</v>
      </c>
      <c r="X55" s="56">
        <f t="shared" si="137"/>
        <v>18.832000000000001</v>
      </c>
      <c r="Y55" s="56">
        <f t="shared" si="138"/>
        <v>30.94</v>
      </c>
      <c r="Z55" s="5">
        <f t="shared" si="139"/>
        <v>3.2880000000000003</v>
      </c>
      <c r="AA55" s="5">
        <f t="shared" si="139"/>
        <v>5.3599999999999959</v>
      </c>
      <c r="AB55" s="11">
        <v>17.25</v>
      </c>
      <c r="AC55" s="11">
        <v>26.7</v>
      </c>
      <c r="AD55" s="12">
        <f t="shared" si="140"/>
        <v>-1.5820000000000007</v>
      </c>
      <c r="AE55" s="12">
        <f t="shared" si="140"/>
        <v>-4.240000000000002</v>
      </c>
      <c r="AF55" s="57">
        <v>1.02</v>
      </c>
      <c r="AG55" s="57">
        <v>1.8</v>
      </c>
      <c r="AH55" s="58">
        <v>1.08</v>
      </c>
      <c r="AI55" s="59">
        <v>1.847</v>
      </c>
      <c r="AJ55" s="5">
        <f t="shared" si="141"/>
        <v>-6.0000000000000053E-2</v>
      </c>
      <c r="AK55" s="52">
        <f t="shared" si="142"/>
        <v>-4.6999999999999931E-2</v>
      </c>
      <c r="AL55" s="6">
        <v>0.79</v>
      </c>
      <c r="AM55" s="6">
        <v>1.29</v>
      </c>
      <c r="AN55" s="12">
        <f t="shared" si="143"/>
        <v>-0.29000000000000004</v>
      </c>
      <c r="AO55" s="65">
        <f t="shared" si="144"/>
        <v>-0.55699999999999994</v>
      </c>
      <c r="AP55" s="67">
        <f t="shared" si="145"/>
        <v>19.911999999999999</v>
      </c>
      <c r="AQ55" s="67">
        <f t="shared" si="146"/>
        <v>32.786999999999999</v>
      </c>
      <c r="AR55" s="57">
        <f t="shared" si="107"/>
        <v>23.14</v>
      </c>
      <c r="AS55" s="57">
        <f t="shared" si="108"/>
        <v>38.099999999999994</v>
      </c>
      <c r="AT55" s="140">
        <f t="shared" si="147"/>
        <v>3.2280000000000015</v>
      </c>
      <c r="AU55" s="140">
        <f t="shared" si="148"/>
        <v>5.3129999999999953</v>
      </c>
      <c r="AV55" s="67">
        <v>11.053000000000001</v>
      </c>
      <c r="AW55" s="67">
        <v>18.917000000000002</v>
      </c>
      <c r="AX55" s="57">
        <v>14.77</v>
      </c>
      <c r="AY55" s="57">
        <v>25.3</v>
      </c>
      <c r="AZ55" s="140">
        <f t="shared" si="149"/>
        <v>3.7169999999999987</v>
      </c>
      <c r="BA55" s="140">
        <f t="shared" si="150"/>
        <v>6.3829999999999991</v>
      </c>
      <c r="BB55" s="67">
        <f t="shared" si="151"/>
        <v>30.849999999999998</v>
      </c>
      <c r="BC55" s="67">
        <f t="shared" si="131"/>
        <v>51.481000000000002</v>
      </c>
      <c r="BD55" s="57">
        <v>37.909999999999997</v>
      </c>
      <c r="BE55" s="57">
        <v>63.4</v>
      </c>
      <c r="BF55" s="140">
        <f t="shared" si="152"/>
        <v>7.0599999999999987</v>
      </c>
      <c r="BG55" s="241">
        <f t="shared" si="153"/>
        <v>11.918999999999997</v>
      </c>
      <c r="BH55" s="348">
        <v>26.87</v>
      </c>
      <c r="BI55" s="216">
        <v>43.09</v>
      </c>
    </row>
    <row r="56" spans="1:61" s="36" customFormat="1" ht="15.75" thickBot="1" x14ac:dyDescent="0.3">
      <c r="A56" s="35" t="s">
        <v>92</v>
      </c>
      <c r="B56" s="13">
        <f t="shared" ref="B56:K56" si="154">SUM(B38:B55)</f>
        <v>471.83999999999986</v>
      </c>
      <c r="C56" s="13">
        <f t="shared" si="154"/>
        <v>852.5999999999998</v>
      </c>
      <c r="D56" s="41">
        <f t="shared" si="154"/>
        <v>387.9439999999999</v>
      </c>
      <c r="E56" s="49">
        <f t="shared" si="154"/>
        <v>707.38300000000015</v>
      </c>
      <c r="F56" s="13">
        <f t="shared" si="154"/>
        <v>83.896000000000015</v>
      </c>
      <c r="G56" s="49">
        <f t="shared" si="154"/>
        <v>145.21700000000004</v>
      </c>
      <c r="H56" s="13">
        <f t="shared" si="154"/>
        <v>371.77999999999992</v>
      </c>
      <c r="I56" s="13">
        <f t="shared" si="154"/>
        <v>641.97</v>
      </c>
      <c r="J56" s="41">
        <f t="shared" si="154"/>
        <v>-16.163999999999984</v>
      </c>
      <c r="K56" s="13">
        <f t="shared" si="154"/>
        <v>-65.413000000000025</v>
      </c>
      <c r="L56" s="13">
        <f t="shared" ref="L56:S56" si="155">SUM(L38:L55)</f>
        <v>101.37</v>
      </c>
      <c r="M56" s="13">
        <f t="shared" si="155"/>
        <v>183.39999999999998</v>
      </c>
      <c r="N56" s="13">
        <f t="shared" si="155"/>
        <v>100.944</v>
      </c>
      <c r="O56" s="49">
        <f t="shared" si="155"/>
        <v>182.93199999999999</v>
      </c>
      <c r="P56" s="13">
        <f t="shared" si="155"/>
        <v>0.42599999999999916</v>
      </c>
      <c r="Q56" s="13">
        <f t="shared" si="155"/>
        <v>0.46799999999999686</v>
      </c>
      <c r="R56" s="13">
        <f t="shared" si="155"/>
        <v>98.38</v>
      </c>
      <c r="S56" s="13">
        <f t="shared" si="155"/>
        <v>168.18</v>
      </c>
      <c r="T56" s="13">
        <f t="shared" si="134"/>
        <v>-2.5640000000000072</v>
      </c>
      <c r="U56" s="13">
        <f t="shared" si="134"/>
        <v>-14.751999999999981</v>
      </c>
      <c r="V56" s="13">
        <f>SUM(V38:V55)</f>
        <v>573.21</v>
      </c>
      <c r="W56" s="13">
        <f>SUM(W38:W55)</f>
        <v>1036.0000000000002</v>
      </c>
      <c r="X56" s="13">
        <f t="shared" ref="X56:Y56" si="156">SUM(X38:X55)</f>
        <v>489.31399999999991</v>
      </c>
      <c r="Y56" s="13">
        <f t="shared" si="156"/>
        <v>890.78300000000002</v>
      </c>
      <c r="Z56" s="13">
        <f t="shared" si="139"/>
        <v>83.896000000000129</v>
      </c>
      <c r="AA56" s="13">
        <f t="shared" si="139"/>
        <v>145.21700000000021</v>
      </c>
      <c r="AB56" s="14">
        <v>470.16</v>
      </c>
      <c r="AC56" s="14">
        <v>810.15</v>
      </c>
      <c r="AD56" s="14">
        <f t="shared" si="140"/>
        <v>-19.153999999999883</v>
      </c>
      <c r="AE56" s="14">
        <f t="shared" si="140"/>
        <v>-80.633000000000038</v>
      </c>
      <c r="AF56" s="38">
        <f>SUM(AF38:AF55)</f>
        <v>24.890000000000004</v>
      </c>
      <c r="AG56" s="38">
        <f>SUM(AG38:AG55)</f>
        <v>47.8</v>
      </c>
      <c r="AH56" s="38">
        <f t="shared" ref="AH56:AI56" si="157">SUM(AH38:AH55)</f>
        <v>28.5</v>
      </c>
      <c r="AI56" s="62">
        <f t="shared" si="157"/>
        <v>53.405999999999999</v>
      </c>
      <c r="AJ56" s="13">
        <f t="shared" si="141"/>
        <v>-3.6099999999999959</v>
      </c>
      <c r="AK56" s="49">
        <f>AG56-AI56</f>
        <v>-5.6060000000000016</v>
      </c>
      <c r="AL56" s="13">
        <f t="shared" ref="AL56:AM56" si="158">SUM(AL38:AL55)</f>
        <v>25.279999999999998</v>
      </c>
      <c r="AM56" s="13">
        <f t="shared" si="158"/>
        <v>44.86</v>
      </c>
      <c r="AN56" s="14">
        <f t="shared" ref="AN56" si="159">AL56-AH56</f>
        <v>-3.2200000000000024</v>
      </c>
      <c r="AO56" s="60">
        <f t="shared" ref="AO56" si="160">AM56-AI56</f>
        <v>-8.5459999999999994</v>
      </c>
      <c r="AP56" s="69">
        <f t="shared" ref="AP56:AQ56" si="161">SUM(AP38:AP55)</f>
        <v>517.81400000000008</v>
      </c>
      <c r="AQ56" s="62">
        <f t="shared" si="161"/>
        <v>944.18900000000008</v>
      </c>
      <c r="AR56" s="38">
        <f>SUM(AR38:AR55)</f>
        <v>598.1</v>
      </c>
      <c r="AS56" s="38">
        <f t="shared" ref="AS56:AW56" si="162">SUM(AS38:AS55)</f>
        <v>1083.8</v>
      </c>
      <c r="AT56" s="38">
        <f t="shared" si="162"/>
        <v>80.286000000000001</v>
      </c>
      <c r="AU56" s="38">
        <f t="shared" si="162"/>
        <v>139.61099999999996</v>
      </c>
      <c r="AV56" s="69">
        <f t="shared" si="162"/>
        <v>309.80399999999997</v>
      </c>
      <c r="AW56" s="62">
        <f t="shared" si="162"/>
        <v>596.774</v>
      </c>
      <c r="AX56" s="38">
        <f>SUM(AX38:AX55)</f>
        <v>377.31999999999994</v>
      </c>
      <c r="AY56" s="38">
        <f t="shared" ref="AY56:BC56" si="163">SUM(AY38:AY55)</f>
        <v>714.70000000000016</v>
      </c>
      <c r="AZ56" s="38">
        <f t="shared" si="163"/>
        <v>67.51600000000002</v>
      </c>
      <c r="BA56" s="38">
        <f t="shared" si="163"/>
        <v>117.92600000000003</v>
      </c>
      <c r="BB56" s="69">
        <f>SUM(BB38:BB55)</f>
        <v>827.19200000000001</v>
      </c>
      <c r="BC56" s="62">
        <f t="shared" si="163"/>
        <v>1540.4949999999997</v>
      </c>
      <c r="BD56" s="38">
        <f>SUM(BD38:BD55)</f>
        <v>975.42</v>
      </c>
      <c r="BE56" s="38">
        <f t="shared" ref="BE56:BG56" si="164">SUM(BE38:BE55)</f>
        <v>1798.4999999999998</v>
      </c>
      <c r="BF56" s="38">
        <f t="shared" si="164"/>
        <v>148.22799999999998</v>
      </c>
      <c r="BG56" s="245">
        <f t="shared" si="164"/>
        <v>258.00500000000017</v>
      </c>
      <c r="BH56" s="356">
        <f>SUM(BH38:BH55)</f>
        <v>807.06</v>
      </c>
      <c r="BI56" s="217">
        <v>955.82</v>
      </c>
    </row>
    <row r="57" spans="1:61" ht="15.75" thickBot="1" x14ac:dyDescent="0.3">
      <c r="A57" s="30"/>
      <c r="B57" s="15"/>
      <c r="C57" s="15"/>
      <c r="D57" s="45"/>
      <c r="E57" s="50"/>
      <c r="F57" s="5"/>
      <c r="G57" s="52"/>
      <c r="H57" s="18"/>
      <c r="I57" s="18"/>
      <c r="J57" s="42"/>
      <c r="K57" s="42"/>
      <c r="L57" s="15"/>
      <c r="M57" s="15"/>
      <c r="N57" s="16"/>
      <c r="O57" s="50"/>
      <c r="P57" s="5"/>
      <c r="Q57" s="5"/>
      <c r="R57" s="18"/>
      <c r="S57" s="18"/>
      <c r="T57" s="19"/>
      <c r="U57" s="19"/>
      <c r="V57" s="15"/>
      <c r="W57" s="15"/>
      <c r="X57" s="20"/>
      <c r="Y57" s="20"/>
      <c r="Z57" s="17"/>
      <c r="AA57" s="17"/>
      <c r="AB57" s="11"/>
      <c r="AC57" s="11"/>
      <c r="AD57" s="12"/>
      <c r="AE57" s="12"/>
      <c r="AF57" s="57"/>
      <c r="AG57" s="57"/>
      <c r="AH57" s="58"/>
      <c r="AI57" s="59"/>
      <c r="AJ57" s="17"/>
      <c r="AK57" s="53"/>
      <c r="AL57" s="18"/>
      <c r="AM57" s="18"/>
      <c r="AN57" s="12"/>
      <c r="AO57" s="65"/>
      <c r="AP57" s="67"/>
      <c r="AQ57" s="59"/>
      <c r="AR57" s="57"/>
      <c r="AS57" s="57"/>
      <c r="AT57" s="17"/>
      <c r="AU57" s="53"/>
      <c r="AV57" s="67"/>
      <c r="AW57" s="59"/>
      <c r="AX57" s="57"/>
      <c r="AY57" s="57"/>
      <c r="AZ57" s="17"/>
      <c r="BA57" s="53"/>
      <c r="BB57" s="67"/>
      <c r="BC57" s="59"/>
      <c r="BD57" s="57"/>
      <c r="BE57" s="57"/>
      <c r="BF57" s="17"/>
      <c r="BG57" s="243"/>
      <c r="BH57" s="350"/>
      <c r="BI57" s="216"/>
    </row>
    <row r="58" spans="1:61" ht="15.75" thickBot="1" x14ac:dyDescent="0.3">
      <c r="A58" s="30" t="s">
        <v>132</v>
      </c>
      <c r="B58" s="3">
        <v>36.520000000000003</v>
      </c>
      <c r="C58" s="3">
        <v>59.9</v>
      </c>
      <c r="D58" s="44">
        <v>37.74</v>
      </c>
      <c r="E58" s="48">
        <v>61.9</v>
      </c>
      <c r="F58" s="5">
        <f>B58-D58</f>
        <v>-1.2199999999999989</v>
      </c>
      <c r="G58" s="52">
        <f>C58-E58</f>
        <v>-2</v>
      </c>
      <c r="H58" s="6"/>
      <c r="I58" s="6"/>
      <c r="J58" s="40">
        <f>H58-D58</f>
        <v>-37.74</v>
      </c>
      <c r="K58" s="40">
        <f t="shared" ref="K58" si="165">I58-E58</f>
        <v>-61.9</v>
      </c>
      <c r="L58" s="3">
        <v>0</v>
      </c>
      <c r="M58" s="3">
        <v>0</v>
      </c>
      <c r="N58" s="4">
        <v>0</v>
      </c>
      <c r="O58" s="48">
        <v>0</v>
      </c>
      <c r="P58" s="5">
        <v>0</v>
      </c>
      <c r="Q58" s="5">
        <v>0</v>
      </c>
      <c r="R58" s="6">
        <v>0</v>
      </c>
      <c r="S58" s="6">
        <v>0</v>
      </c>
      <c r="T58" s="7">
        <v>0</v>
      </c>
      <c r="U58" s="7">
        <v>0</v>
      </c>
      <c r="V58" s="3">
        <v>0</v>
      </c>
      <c r="W58" s="3">
        <v>0</v>
      </c>
      <c r="X58" s="8">
        <v>45.844000000000001</v>
      </c>
      <c r="Y58" s="8">
        <v>75.238</v>
      </c>
      <c r="Z58" s="5">
        <v>0</v>
      </c>
      <c r="AA58" s="5">
        <v>0</v>
      </c>
      <c r="AB58" s="11">
        <v>0</v>
      </c>
      <c r="AC58" s="11">
        <v>0</v>
      </c>
      <c r="AD58" s="12">
        <v>0</v>
      </c>
      <c r="AE58" s="12">
        <v>0</v>
      </c>
      <c r="AF58" s="57">
        <v>2.06</v>
      </c>
      <c r="AG58" s="57">
        <v>3.6</v>
      </c>
      <c r="AH58" s="58"/>
      <c r="AI58" s="59"/>
      <c r="AJ58" s="5">
        <v>0</v>
      </c>
      <c r="AK58" s="52">
        <v>0</v>
      </c>
      <c r="AL58" s="6">
        <v>0</v>
      </c>
      <c r="AM58" s="6">
        <v>0</v>
      </c>
      <c r="AN58" s="12">
        <f t="shared" ref="AN58" si="166">AL58-AH58</f>
        <v>0</v>
      </c>
      <c r="AO58" s="65">
        <f t="shared" ref="AO58" si="167">AM58-AI58</f>
        <v>0</v>
      </c>
      <c r="AP58" s="67">
        <f>AH58+X58</f>
        <v>45.844000000000001</v>
      </c>
      <c r="AQ58" s="67">
        <f>AI58+Y58</f>
        <v>75.238</v>
      </c>
      <c r="AR58" s="57">
        <f t="shared" ref="AR58" si="168">V58+AF58</f>
        <v>2.06</v>
      </c>
      <c r="AS58" s="57">
        <f t="shared" ref="AS58" si="169">W58+AG58</f>
        <v>3.6</v>
      </c>
      <c r="AT58" s="140">
        <f t="shared" ref="AT58:AU58" si="170">AR58-AP58</f>
        <v>-43.783999999999999</v>
      </c>
      <c r="AU58" s="140">
        <f t="shared" si="170"/>
        <v>-71.638000000000005</v>
      </c>
      <c r="AV58" s="67">
        <v>14.92</v>
      </c>
      <c r="AW58" s="67">
        <v>25.513200000000001</v>
      </c>
      <c r="AX58" s="57">
        <v>29.72</v>
      </c>
      <c r="AY58" s="57">
        <v>50.9</v>
      </c>
      <c r="AZ58" s="140">
        <f t="shared" ref="AZ58" si="171">AX58-AV58</f>
        <v>14.799999999999999</v>
      </c>
      <c r="BA58" s="140">
        <f t="shared" ref="BA58" si="172">AY58-AW58</f>
        <v>25.386799999999997</v>
      </c>
      <c r="BB58" s="67">
        <f>D58+N58+AH58+AV58</f>
        <v>52.660000000000004</v>
      </c>
      <c r="BC58" s="67">
        <f>E58+O58+AI58+AW58</f>
        <v>87.413200000000003</v>
      </c>
      <c r="BD58" s="57">
        <v>76.239999999999995</v>
      </c>
      <c r="BE58" s="57">
        <v>127.4</v>
      </c>
      <c r="BF58" s="140">
        <f t="shared" ref="BF58" si="173">BD58-BB58</f>
        <v>23.579999999999991</v>
      </c>
      <c r="BG58" s="241">
        <f t="shared" ref="BG58" si="174">BE58-BC58</f>
        <v>39.986800000000002</v>
      </c>
      <c r="BH58" s="348">
        <v>30.7</v>
      </c>
      <c r="BI58" s="216">
        <v>0</v>
      </c>
    </row>
    <row r="59" spans="1:61" ht="15.75" thickBot="1" x14ac:dyDescent="0.3">
      <c r="A59" s="30"/>
      <c r="B59" s="3"/>
      <c r="C59" s="3"/>
      <c r="D59" s="44"/>
      <c r="E59" s="48"/>
      <c r="F59" s="5"/>
      <c r="G59" s="52"/>
      <c r="H59" s="6"/>
      <c r="I59" s="6"/>
      <c r="J59" s="40"/>
      <c r="K59" s="40"/>
      <c r="L59" s="3"/>
      <c r="M59" s="3"/>
      <c r="N59" s="4"/>
      <c r="O59" s="48"/>
      <c r="P59" s="5"/>
      <c r="Q59" s="5"/>
      <c r="R59" s="6"/>
      <c r="S59" s="6"/>
      <c r="T59" s="7"/>
      <c r="U59" s="7"/>
      <c r="V59" s="3"/>
      <c r="W59" s="3"/>
      <c r="X59" s="8"/>
      <c r="Y59" s="8"/>
      <c r="Z59" s="5"/>
      <c r="AA59" s="5"/>
      <c r="AB59" s="11"/>
      <c r="AC59" s="11"/>
      <c r="AD59" s="12"/>
      <c r="AE59" s="12"/>
      <c r="AF59" s="57"/>
      <c r="AG59" s="57"/>
      <c r="AH59" s="58"/>
      <c r="AI59" s="59"/>
      <c r="AJ59" s="5"/>
      <c r="AK59" s="52"/>
      <c r="AL59" s="6"/>
      <c r="AM59" s="6"/>
      <c r="AN59" s="12"/>
      <c r="AO59" s="65"/>
      <c r="AP59" s="67"/>
      <c r="AQ59" s="59"/>
      <c r="AR59" s="57"/>
      <c r="AS59" s="57"/>
      <c r="AT59" s="5"/>
      <c r="AU59" s="52"/>
      <c r="AV59" s="67"/>
      <c r="AW59" s="59"/>
      <c r="AX59" s="57"/>
      <c r="AY59" s="57"/>
      <c r="AZ59" s="5"/>
      <c r="BA59" s="52"/>
      <c r="BB59" s="67"/>
      <c r="BC59" s="59"/>
      <c r="BD59" s="57"/>
      <c r="BE59" s="57"/>
      <c r="BF59" s="5"/>
      <c r="BG59" s="240"/>
      <c r="BH59" s="347"/>
      <c r="BI59" s="216"/>
    </row>
    <row r="60" spans="1:61" ht="15.75" thickBot="1" x14ac:dyDescent="0.3">
      <c r="A60" s="30"/>
      <c r="B60" s="3"/>
      <c r="C60" s="3"/>
      <c r="D60" s="44"/>
      <c r="E60" s="48"/>
      <c r="F60" s="5"/>
      <c r="G60" s="52"/>
      <c r="H60" s="6"/>
      <c r="I60" s="6"/>
      <c r="J60" s="40"/>
      <c r="K60" s="40"/>
      <c r="L60" s="3"/>
      <c r="M60" s="3"/>
      <c r="N60" s="4"/>
      <c r="O60" s="48"/>
      <c r="P60" s="5"/>
      <c r="Q60" s="5"/>
      <c r="R60" s="6"/>
      <c r="S60" s="6"/>
      <c r="T60" s="7"/>
      <c r="U60" s="7"/>
      <c r="V60" s="3"/>
      <c r="W60" s="3"/>
      <c r="X60" s="8"/>
      <c r="Y60" s="8"/>
      <c r="Z60" s="5"/>
      <c r="AA60" s="5"/>
      <c r="AB60" s="11"/>
      <c r="AC60" s="11"/>
      <c r="AD60" s="12"/>
      <c r="AE60" s="12"/>
      <c r="AF60" s="57"/>
      <c r="AG60" s="57"/>
      <c r="AH60" s="58"/>
      <c r="AI60" s="59"/>
      <c r="AJ60" s="5"/>
      <c r="AK60" s="52"/>
      <c r="AL60" s="6"/>
      <c r="AM60" s="6"/>
      <c r="AN60" s="12"/>
      <c r="AO60" s="65"/>
      <c r="AP60" s="67"/>
      <c r="AQ60" s="59"/>
      <c r="AR60" s="57"/>
      <c r="AS60" s="57"/>
      <c r="AT60" s="5"/>
      <c r="AU60" s="52"/>
      <c r="AV60" s="67"/>
      <c r="AW60" s="59"/>
      <c r="AX60" s="57"/>
      <c r="AY60" s="57"/>
      <c r="AZ60" s="5"/>
      <c r="BA60" s="52"/>
      <c r="BB60" s="67"/>
      <c r="BC60" s="59"/>
      <c r="BD60" s="57"/>
      <c r="BE60" s="57"/>
      <c r="BF60" s="5"/>
      <c r="BG60" s="240"/>
      <c r="BH60" s="347"/>
      <c r="BI60" s="216"/>
    </row>
    <row r="61" spans="1:61" s="36" customFormat="1" ht="15.75" thickBot="1" x14ac:dyDescent="0.3">
      <c r="A61" s="35" t="s">
        <v>108</v>
      </c>
      <c r="B61" s="13">
        <f>B22+B24+B36+B56+B58+B59</f>
        <v>3438.0199999999991</v>
      </c>
      <c r="C61" s="13">
        <f>C22+C24+C36+C56+C58+C59</f>
        <v>6991.9799999999987</v>
      </c>
      <c r="D61" s="41">
        <f t="shared" ref="D61:I61" si="175">D22+D24+D36+D56+D58</f>
        <v>2874.0749999999998</v>
      </c>
      <c r="E61" s="49">
        <f t="shared" si="175"/>
        <v>5880.7619999999997</v>
      </c>
      <c r="F61" s="13">
        <f t="shared" si="175"/>
        <v>563.94499999999994</v>
      </c>
      <c r="G61" s="49">
        <f t="shared" si="175"/>
        <v>1111.2180000000001</v>
      </c>
      <c r="H61" s="13">
        <f t="shared" si="175"/>
        <v>2825.8900000000003</v>
      </c>
      <c r="I61" s="13">
        <f t="shared" si="175"/>
        <v>5380.65</v>
      </c>
      <c r="J61" s="41">
        <f>H61-D61</f>
        <v>-48.184999999999491</v>
      </c>
      <c r="K61" s="41">
        <f>I61-E61</f>
        <v>-500.11200000000008</v>
      </c>
      <c r="L61" s="13">
        <f>L22+L24+L36+L56+L58+L59</f>
        <v>743.32999999999993</v>
      </c>
      <c r="M61" s="13">
        <f>M22+M24+M36+M56+M58+M59</f>
        <v>1363.7359999999999</v>
      </c>
      <c r="N61" s="13">
        <f t="shared" ref="N61:S61" si="176">N22+N24+N36+N56+N58</f>
        <v>750.95600000000002</v>
      </c>
      <c r="O61" s="49">
        <f t="shared" si="176"/>
        <v>1537.1419999999998</v>
      </c>
      <c r="P61" s="13">
        <f t="shared" si="176"/>
        <v>-7.6259999999999861</v>
      </c>
      <c r="Q61" s="13">
        <f t="shared" si="176"/>
        <v>-173.40600000000003</v>
      </c>
      <c r="R61" s="13">
        <f t="shared" si="176"/>
        <v>761.31000000000006</v>
      </c>
      <c r="S61" s="13">
        <f t="shared" si="176"/>
        <v>1494.6299999999999</v>
      </c>
      <c r="T61" s="13">
        <f>R61-N61</f>
        <v>10.354000000000042</v>
      </c>
      <c r="U61" s="13">
        <f>S61-O61</f>
        <v>-42.511999999999944</v>
      </c>
      <c r="V61" s="13">
        <f>V56+V36+V22</f>
        <v>4144.83</v>
      </c>
      <c r="W61" s="13">
        <f>W56+W36+W22</f>
        <v>8295.8159999999989</v>
      </c>
      <c r="X61" s="13">
        <v>3833.34</v>
      </c>
      <c r="Y61" s="13">
        <v>7779.21</v>
      </c>
      <c r="Z61" s="13">
        <f>V61-X61</f>
        <v>311.48999999999978</v>
      </c>
      <c r="AA61" s="13">
        <f>W61-Y61</f>
        <v>516.60599999999886</v>
      </c>
      <c r="AB61" s="14">
        <v>3587.2</v>
      </c>
      <c r="AC61" s="14">
        <v>6875.28</v>
      </c>
      <c r="AD61" s="14">
        <f>AB61-X61</f>
        <v>-246.14000000000033</v>
      </c>
      <c r="AE61" s="14">
        <f>AC61-Y61</f>
        <v>-903.93000000000029</v>
      </c>
      <c r="AF61" s="38">
        <f>AF22+AF36+AF56+AF58</f>
        <v>188.09</v>
      </c>
      <c r="AG61" s="38">
        <f>AG22+AG36+AG56+AG58</f>
        <v>400.2000000000001</v>
      </c>
      <c r="AH61" s="38">
        <f t="shared" ref="AH61:AL61" si="177">AH22+AH36+AH56+AH58</f>
        <v>800.84299999999996</v>
      </c>
      <c r="AI61" s="62">
        <f t="shared" si="177"/>
        <v>1807.1520000000003</v>
      </c>
      <c r="AJ61" s="62">
        <f t="shared" si="177"/>
        <v>-614.8130000000001</v>
      </c>
      <c r="AK61" s="62">
        <f t="shared" si="177"/>
        <v>-1410.5519999999999</v>
      </c>
      <c r="AL61" s="62">
        <f t="shared" si="177"/>
        <v>159.94</v>
      </c>
      <c r="AM61" s="13">
        <f t="shared" ref="AM61" si="178">AM22+AM24+AM36+AM56+AM58</f>
        <v>330.24</v>
      </c>
      <c r="AN61" s="14">
        <f>AL61-AH61</f>
        <v>-640.90300000000002</v>
      </c>
      <c r="AO61" s="60">
        <f>AM61-AI61</f>
        <v>-1476.9120000000003</v>
      </c>
      <c r="AP61" s="69">
        <f t="shared" ref="AP61:AQ61" si="179">AP22+AP36+AP56+AP58</f>
        <v>4434.362000000001</v>
      </c>
      <c r="AQ61" s="62">
        <f t="shared" si="179"/>
        <v>9238.8619999999992</v>
      </c>
      <c r="AR61" s="38">
        <f>AR22+AR36+AR56+AR58</f>
        <v>4332.920000000001</v>
      </c>
      <c r="AS61" s="38">
        <f>AS22+AS36+AS56+AS58</f>
        <v>8696.0159999999996</v>
      </c>
      <c r="AT61" s="38">
        <f t="shared" ref="AT61:AW61" si="180">AT22+AT36+AT56+AT58</f>
        <v>-303.96000000000009</v>
      </c>
      <c r="AU61" s="38">
        <f t="shared" si="180"/>
        <v>-800.77800000000025</v>
      </c>
      <c r="AV61" s="69">
        <f t="shared" si="180"/>
        <v>2421.7740000000003</v>
      </c>
      <c r="AW61" s="62">
        <f t="shared" si="180"/>
        <v>5335.3100200000008</v>
      </c>
      <c r="AX61" s="38">
        <f>AX22+AX36+AX56+AX58</f>
        <v>2779.5199999999991</v>
      </c>
      <c r="AY61" s="38">
        <f>AY22+AY36+AY56+AY58</f>
        <v>5782.07</v>
      </c>
      <c r="AZ61" s="38">
        <f t="shared" ref="AZ61:BC61" si="181">AZ22+AZ36+AZ56+AZ58</f>
        <v>213.66600000000005</v>
      </c>
      <c r="BA61" s="38">
        <f t="shared" si="181"/>
        <v>212.66312000000016</v>
      </c>
      <c r="BB61" s="69">
        <f t="shared" si="181"/>
        <v>6847.6480000000001</v>
      </c>
      <c r="BC61" s="62">
        <f t="shared" si="181"/>
        <v>14560.366019999999</v>
      </c>
      <c r="BD61" s="62">
        <f>BD22+BD36+BD56+BD58</f>
        <v>7159.8499999999995</v>
      </c>
      <c r="BE61" s="38">
        <f>BE22+BE36+BE56+BE58</f>
        <v>14818.6</v>
      </c>
      <c r="BF61" s="38">
        <f t="shared" ref="BF61:BG61" si="182">BF22+BF36+BF56+BF58</f>
        <v>312.20199999999994</v>
      </c>
      <c r="BG61" s="245">
        <f t="shared" si="182"/>
        <v>258.23398000000049</v>
      </c>
      <c r="BH61" s="357">
        <f>BH22+BH36+BH56+BH58</f>
        <v>6189.7299999999987</v>
      </c>
      <c r="BI61" s="217">
        <v>5593.69</v>
      </c>
    </row>
    <row r="62" spans="1:61" x14ac:dyDescent="0.25">
      <c r="AV62" s="39"/>
      <c r="AW62" s="47"/>
      <c r="BA62" s="47"/>
      <c r="BB62" s="39"/>
      <c r="BC62" s="47"/>
      <c r="BG62" s="47"/>
      <c r="BH62" s="352"/>
      <c r="BI62" s="216"/>
    </row>
    <row r="63" spans="1:61" ht="15.75" thickBot="1" x14ac:dyDescent="0.3">
      <c r="AV63" s="39"/>
      <c r="AW63" s="47"/>
      <c r="BA63" s="47"/>
      <c r="BB63" s="39"/>
      <c r="BC63" s="47"/>
      <c r="BG63" s="47"/>
      <c r="BH63" s="352"/>
      <c r="BI63" s="216"/>
    </row>
    <row r="64" spans="1:61" ht="16.5" thickBot="1" x14ac:dyDescent="0.3">
      <c r="A64" s="31" t="s">
        <v>109</v>
      </c>
      <c r="B64" s="21">
        <v>15.4</v>
      </c>
      <c r="C64" s="21">
        <v>72.099999999999994</v>
      </c>
      <c r="D64" s="46">
        <v>14.805</v>
      </c>
      <c r="E64" s="51">
        <v>63.94</v>
      </c>
      <c r="F64" s="23">
        <f>B64-D64</f>
        <v>0.59500000000000064</v>
      </c>
      <c r="G64" s="54">
        <f>C64-E64</f>
        <v>8.1599999999999966</v>
      </c>
      <c r="H64" s="24">
        <v>15.5</v>
      </c>
      <c r="I64" s="24">
        <v>60.59</v>
      </c>
      <c r="J64" s="40">
        <f t="shared" ref="J64" si="183">H64-D64</f>
        <v>0.69500000000000028</v>
      </c>
      <c r="K64" s="40">
        <f t="shared" ref="K64" si="184">I64-E64</f>
        <v>-3.3499999999999943</v>
      </c>
      <c r="L64" s="21">
        <v>3.3</v>
      </c>
      <c r="M64" s="21">
        <v>15.5</v>
      </c>
      <c r="N64" s="22">
        <v>3.266</v>
      </c>
      <c r="O64" s="55">
        <v>14.175000000000001</v>
      </c>
      <c r="P64" s="23">
        <f>L64-N64</f>
        <v>3.3999999999999808E-2</v>
      </c>
      <c r="Q64" s="23">
        <f>M64-O64</f>
        <v>1.3249999999999993</v>
      </c>
      <c r="R64" s="24">
        <v>3.16</v>
      </c>
      <c r="S64" s="24">
        <v>11.56</v>
      </c>
      <c r="T64" s="25">
        <f>R64-N64</f>
        <v>-0.10599999999999987</v>
      </c>
      <c r="U64" s="25">
        <f>S64-O64</f>
        <v>-2.6150000000000002</v>
      </c>
      <c r="V64" s="21">
        <v>18.7</v>
      </c>
      <c r="W64" s="21">
        <v>87.6</v>
      </c>
      <c r="X64" s="26">
        <v>18.079999999999998</v>
      </c>
      <c r="Y64" s="26">
        <v>78.114999999999995</v>
      </c>
      <c r="Z64" s="23">
        <f>V64-X64</f>
        <v>0.62000000000000099</v>
      </c>
      <c r="AA64" s="23">
        <f>W64-Y64</f>
        <v>9.4849999999999994</v>
      </c>
      <c r="AB64" s="27">
        <v>18.66</v>
      </c>
      <c r="AC64" s="27">
        <v>72.150000000000006</v>
      </c>
      <c r="AD64" s="28">
        <f>AB64-X64</f>
        <v>0.58000000000000185</v>
      </c>
      <c r="AE64" s="28">
        <f>AC64-Y64</f>
        <v>-5.9649999999999892</v>
      </c>
      <c r="AF64" s="33">
        <v>0.8</v>
      </c>
      <c r="AG64" s="33">
        <v>3.8</v>
      </c>
      <c r="AH64" s="58">
        <v>0.95799999999999996</v>
      </c>
      <c r="AI64" s="59">
        <v>4.2039999999999997</v>
      </c>
      <c r="AJ64" s="23">
        <f>AF64-AH64</f>
        <v>-0.15799999999999992</v>
      </c>
      <c r="AK64" s="54">
        <f>AG64-AI64</f>
        <v>-0.40399999999999991</v>
      </c>
      <c r="AL64" s="24">
        <v>1.3</v>
      </c>
      <c r="AM64" s="24">
        <v>5.03</v>
      </c>
      <c r="AN64" s="28">
        <f>AL64-AH64</f>
        <v>0.34200000000000008</v>
      </c>
      <c r="AO64" s="66">
        <f>AM64-AI64</f>
        <v>0.82600000000000051</v>
      </c>
      <c r="AP64" s="70">
        <v>19.038</v>
      </c>
      <c r="AQ64" s="63">
        <v>82.314999999999998</v>
      </c>
      <c r="AR64" s="33">
        <v>19.5</v>
      </c>
      <c r="AS64" s="33">
        <v>91.4</v>
      </c>
      <c r="AT64" s="23">
        <f>AP64-AR64</f>
        <v>-0.46199999999999974</v>
      </c>
      <c r="AU64" s="54">
        <f>AQ64-AS64</f>
        <v>-9.085000000000008</v>
      </c>
      <c r="AV64" s="70">
        <v>12.952999999999999</v>
      </c>
      <c r="AW64" s="63">
        <v>56.243000000000002</v>
      </c>
      <c r="AX64" s="33">
        <v>12.5</v>
      </c>
      <c r="AY64" s="33">
        <v>58.6</v>
      </c>
      <c r="AZ64" s="23">
        <f>AV64-AX64</f>
        <v>0.4529999999999994</v>
      </c>
      <c r="BA64" s="54">
        <f>AW64-AY64</f>
        <v>-2.3569999999999993</v>
      </c>
      <c r="BB64" s="70">
        <v>31.981999999999999</v>
      </c>
      <c r="BC64" s="63">
        <v>138.56399999999999</v>
      </c>
      <c r="BD64" s="33">
        <v>32</v>
      </c>
      <c r="BE64" s="33">
        <v>150</v>
      </c>
      <c r="BF64" s="346">
        <f>BD64-BB64</f>
        <v>1.8000000000000682E-2</v>
      </c>
      <c r="BG64" s="246">
        <f>BE64-BC64</f>
        <v>11.436000000000007</v>
      </c>
      <c r="BH64" s="353">
        <v>31.3</v>
      </c>
      <c r="BI64" s="216">
        <v>32</v>
      </c>
    </row>
  </sheetData>
  <mergeCells count="32">
    <mergeCell ref="BH3:BH4"/>
    <mergeCell ref="AR3:AS4"/>
    <mergeCell ref="AT3:AU4"/>
    <mergeCell ref="L3:M3"/>
    <mergeCell ref="N3:O4"/>
    <mergeCell ref="P3:Q4"/>
    <mergeCell ref="R3:S4"/>
    <mergeCell ref="T3:U4"/>
    <mergeCell ref="L4:M4"/>
    <mergeCell ref="AN3:AO4"/>
    <mergeCell ref="AP3:AQ4"/>
    <mergeCell ref="V3:W4"/>
    <mergeCell ref="X3:Y4"/>
    <mergeCell ref="Z3:AA4"/>
    <mergeCell ref="AB3:AC4"/>
    <mergeCell ref="AD3:AE4"/>
    <mergeCell ref="AJ3:AK4"/>
    <mergeCell ref="AL3:AM4"/>
    <mergeCell ref="AF3:AG4"/>
    <mergeCell ref="AH3:AI4"/>
    <mergeCell ref="J3:K4"/>
    <mergeCell ref="B3:C3"/>
    <mergeCell ref="D3:E4"/>
    <mergeCell ref="F3:G4"/>
    <mergeCell ref="H3:I4"/>
    <mergeCell ref="B4:C4"/>
    <mergeCell ref="BF3:BG4"/>
    <mergeCell ref="AV3:AW4"/>
    <mergeCell ref="AX3:AY4"/>
    <mergeCell ref="AZ3:BA4"/>
    <mergeCell ref="BB3:BC4"/>
    <mergeCell ref="BD3:BE4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8"/>
  <sheetViews>
    <sheetView zoomScale="110" zoomScaleNormal="110" workbookViewId="0">
      <pane xSplit="2" ySplit="3" topLeftCell="AM41" activePane="bottomRight" state="frozen"/>
      <selection pane="topRight" activeCell="C1" sqref="C1"/>
      <selection pane="bottomLeft" activeCell="A4" sqref="A4"/>
      <selection pane="bottomRight" activeCell="AY43" sqref="AY43"/>
    </sheetView>
  </sheetViews>
  <sheetFormatPr defaultRowHeight="15" x14ac:dyDescent="0.25"/>
  <cols>
    <col min="1" max="1" width="12.7109375" customWidth="1"/>
    <col min="2" max="2" width="28.28515625" customWidth="1"/>
    <col min="3" max="3" width="11" customWidth="1"/>
    <col min="4" max="4" width="12.7109375" customWidth="1"/>
    <col min="5" max="5" width="10.85546875" customWidth="1"/>
    <col min="6" max="6" width="11.7109375" customWidth="1"/>
    <col min="7" max="7" width="10.28515625" customWidth="1"/>
    <col min="8" max="8" width="9.85546875" customWidth="1"/>
    <col min="9" max="9" width="12.85546875" customWidth="1"/>
    <col min="10" max="10" width="13" customWidth="1"/>
    <col min="11" max="12" width="12.42578125" customWidth="1"/>
    <col min="14" max="14" width="9.5703125" bestFit="1" customWidth="1"/>
    <col min="25" max="25" width="10.7109375" customWidth="1"/>
    <col min="27" max="27" width="10.7109375" customWidth="1"/>
    <col min="33" max="33" width="10.7109375" customWidth="1"/>
    <col min="39" max="39" width="10.7109375" customWidth="1"/>
    <col min="41" max="41" width="12" customWidth="1"/>
  </cols>
  <sheetData>
    <row r="1" spans="1:54" ht="33.75" customHeight="1" thickBot="1" x14ac:dyDescent="0.3">
      <c r="A1" s="72" t="s">
        <v>251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5"/>
      <c r="AA1" s="71"/>
      <c r="AB1" s="71"/>
      <c r="AC1" s="74"/>
      <c r="AD1" s="74"/>
      <c r="AE1" s="74"/>
      <c r="AF1" s="74"/>
      <c r="AG1" s="74"/>
      <c r="AH1" s="75"/>
      <c r="AI1" s="74"/>
      <c r="AJ1" s="74"/>
      <c r="AK1" s="74"/>
      <c r="AL1" s="74"/>
      <c r="AM1" s="74"/>
      <c r="AN1" s="75"/>
    </row>
    <row r="2" spans="1:54" ht="46.5" customHeight="1" thickBot="1" x14ac:dyDescent="0.3">
      <c r="A2" s="332" t="s">
        <v>134</v>
      </c>
      <c r="B2" s="332"/>
      <c r="C2" s="334" t="s">
        <v>178</v>
      </c>
      <c r="D2" s="334"/>
      <c r="E2" s="335" t="s">
        <v>135</v>
      </c>
      <c r="F2" s="335"/>
      <c r="G2" s="336" t="s">
        <v>172</v>
      </c>
      <c r="H2" s="336"/>
      <c r="I2" s="338" t="s">
        <v>176</v>
      </c>
      <c r="J2" s="338"/>
      <c r="K2" s="339" t="s">
        <v>179</v>
      </c>
      <c r="L2" s="339"/>
      <c r="M2" s="340" t="s">
        <v>217</v>
      </c>
      <c r="N2" s="340"/>
      <c r="O2" s="341" t="s">
        <v>218</v>
      </c>
      <c r="P2" s="341"/>
      <c r="Q2" s="342" t="s">
        <v>219</v>
      </c>
      <c r="R2" s="342"/>
      <c r="S2" s="343" t="s">
        <v>202</v>
      </c>
      <c r="T2" s="343"/>
      <c r="U2" s="324" t="s">
        <v>220</v>
      </c>
      <c r="V2" s="324"/>
      <c r="W2" s="344" t="s">
        <v>221</v>
      </c>
      <c r="X2" s="344"/>
      <c r="Y2" s="322" t="s">
        <v>222</v>
      </c>
      <c r="Z2" s="322"/>
      <c r="AA2" s="345" t="s">
        <v>183</v>
      </c>
      <c r="AB2" s="345"/>
      <c r="AC2" s="324" t="s">
        <v>224</v>
      </c>
      <c r="AD2" s="324"/>
      <c r="AE2" s="325" t="s">
        <v>225</v>
      </c>
      <c r="AF2" s="325"/>
      <c r="AG2" s="322" t="s">
        <v>231</v>
      </c>
      <c r="AH2" s="322"/>
      <c r="AI2" s="324" t="s">
        <v>232</v>
      </c>
      <c r="AJ2" s="324"/>
      <c r="AK2" s="325" t="s">
        <v>233</v>
      </c>
      <c r="AL2" s="325"/>
      <c r="AM2" s="322" t="s">
        <v>234</v>
      </c>
      <c r="AN2" s="322"/>
      <c r="AO2" s="324" t="s">
        <v>281</v>
      </c>
      <c r="AP2" s="324"/>
      <c r="AQ2" s="325" t="s">
        <v>282</v>
      </c>
      <c r="AR2" s="325"/>
      <c r="AS2" s="322" t="s">
        <v>283</v>
      </c>
      <c r="AT2" s="322"/>
      <c r="AU2" s="324" t="s">
        <v>284</v>
      </c>
      <c r="AV2" s="324"/>
      <c r="AW2" s="325" t="s">
        <v>285</v>
      </c>
      <c r="AX2" s="325"/>
      <c r="AY2" s="322" t="s">
        <v>286</v>
      </c>
      <c r="AZ2" s="323"/>
      <c r="BA2" s="236" t="s">
        <v>287</v>
      </c>
      <c r="BB2" s="235"/>
    </row>
    <row r="3" spans="1:54" ht="27" customHeight="1" thickBot="1" x14ac:dyDescent="0.3">
      <c r="A3" s="333"/>
      <c r="B3" s="332"/>
      <c r="C3" s="81" t="s">
        <v>136</v>
      </c>
      <c r="D3" s="81" t="s">
        <v>6</v>
      </c>
      <c r="E3" s="88" t="s">
        <v>136</v>
      </c>
      <c r="F3" s="88" t="s">
        <v>6</v>
      </c>
      <c r="G3" s="93" t="s">
        <v>136</v>
      </c>
      <c r="H3" s="93" t="s">
        <v>6</v>
      </c>
      <c r="I3" s="96" t="s">
        <v>177</v>
      </c>
      <c r="J3" s="96" t="s">
        <v>6</v>
      </c>
      <c r="K3" s="99" t="s">
        <v>177</v>
      </c>
      <c r="L3" s="99" t="s">
        <v>6</v>
      </c>
      <c r="M3" s="102" t="s">
        <v>136</v>
      </c>
      <c r="N3" s="102" t="s">
        <v>6</v>
      </c>
      <c r="O3" s="91" t="s">
        <v>136</v>
      </c>
      <c r="P3" s="91" t="s">
        <v>6</v>
      </c>
      <c r="Q3" s="86" t="s">
        <v>136</v>
      </c>
      <c r="R3" s="86" t="s">
        <v>6</v>
      </c>
      <c r="S3" s="79" t="s">
        <v>223</v>
      </c>
      <c r="T3" s="79" t="s">
        <v>6</v>
      </c>
      <c r="U3" s="93" t="s">
        <v>177</v>
      </c>
      <c r="V3" s="93" t="s">
        <v>6</v>
      </c>
      <c r="W3" s="99" t="s">
        <v>136</v>
      </c>
      <c r="X3" s="99" t="s">
        <v>6</v>
      </c>
      <c r="Y3" s="112" t="s">
        <v>136</v>
      </c>
      <c r="Z3" s="112" t="s">
        <v>6</v>
      </c>
      <c r="AA3" s="78" t="s">
        <v>223</v>
      </c>
      <c r="AB3" s="78" t="s">
        <v>6</v>
      </c>
      <c r="AC3" s="93" t="s">
        <v>177</v>
      </c>
      <c r="AD3" s="114" t="s">
        <v>226</v>
      </c>
      <c r="AE3" s="130" t="s">
        <v>136</v>
      </c>
      <c r="AF3" s="130" t="s">
        <v>6</v>
      </c>
      <c r="AG3" s="112" t="s">
        <v>136</v>
      </c>
      <c r="AH3" s="112" t="s">
        <v>6</v>
      </c>
      <c r="AI3" s="93" t="s">
        <v>177</v>
      </c>
      <c r="AJ3" s="114" t="s">
        <v>226</v>
      </c>
      <c r="AK3" s="130" t="s">
        <v>136</v>
      </c>
      <c r="AL3" s="130" t="s">
        <v>6</v>
      </c>
      <c r="AM3" s="112" t="s">
        <v>136</v>
      </c>
      <c r="AN3" s="112" t="s">
        <v>6</v>
      </c>
      <c r="AO3" s="93" t="s">
        <v>177</v>
      </c>
      <c r="AP3" s="114" t="s">
        <v>226</v>
      </c>
      <c r="AQ3" s="130" t="s">
        <v>136</v>
      </c>
      <c r="AR3" s="130" t="s">
        <v>6</v>
      </c>
      <c r="AS3" s="112" t="s">
        <v>136</v>
      </c>
      <c r="AT3" s="112" t="s">
        <v>6</v>
      </c>
      <c r="AU3" s="93" t="s">
        <v>177</v>
      </c>
      <c r="AV3" s="114" t="s">
        <v>226</v>
      </c>
      <c r="AW3" s="130" t="s">
        <v>136</v>
      </c>
      <c r="AX3" s="130" t="s">
        <v>6</v>
      </c>
      <c r="AY3" s="112" t="s">
        <v>136</v>
      </c>
      <c r="AZ3" s="231" t="s">
        <v>6</v>
      </c>
      <c r="BA3" s="216" t="s">
        <v>288</v>
      </c>
    </row>
    <row r="4" spans="1:54" ht="16.5" thickBot="1" x14ac:dyDescent="0.3">
      <c r="A4" s="331" t="s">
        <v>137</v>
      </c>
      <c r="B4" s="331"/>
      <c r="C4" s="82">
        <v>25</v>
      </c>
      <c r="D4" s="83">
        <v>630</v>
      </c>
      <c r="E4" s="89">
        <v>62.5</v>
      </c>
      <c r="F4" s="89">
        <v>1600</v>
      </c>
      <c r="G4" s="94">
        <f>E4-C4</f>
        <v>37.5</v>
      </c>
      <c r="H4" s="94">
        <f>F4-D4</f>
        <v>970</v>
      </c>
      <c r="I4" s="97">
        <v>52.98</v>
      </c>
      <c r="J4" s="97">
        <v>911.24</v>
      </c>
      <c r="K4" s="100">
        <f>I4-C4</f>
        <v>27.979999999999997</v>
      </c>
      <c r="L4" s="100">
        <f>J4-D4</f>
        <v>281.24</v>
      </c>
      <c r="M4" s="103">
        <v>12.1</v>
      </c>
      <c r="N4" s="104">
        <v>301.64999999999998</v>
      </c>
      <c r="O4" s="107">
        <v>62.5</v>
      </c>
      <c r="P4" s="107">
        <v>1600</v>
      </c>
      <c r="Q4" s="108">
        <f>O4-M4</f>
        <v>50.4</v>
      </c>
      <c r="R4" s="108">
        <f>P4-N4</f>
        <v>1298.3499999999999</v>
      </c>
      <c r="S4" s="80">
        <v>73.98</v>
      </c>
      <c r="T4" s="80">
        <v>1414.82</v>
      </c>
      <c r="U4" s="94">
        <v>37.299999999999997</v>
      </c>
      <c r="V4" s="94">
        <v>929.89</v>
      </c>
      <c r="W4" s="111">
        <v>125</v>
      </c>
      <c r="X4" s="111">
        <v>3200</v>
      </c>
      <c r="Y4" s="112">
        <f>W4-U4</f>
        <v>87.7</v>
      </c>
      <c r="Z4" s="112">
        <f>X4-V4</f>
        <v>2270.11</v>
      </c>
      <c r="AA4" s="78">
        <f>S4-U4</f>
        <v>36.680000000000007</v>
      </c>
      <c r="AB4" s="78">
        <f>T4-V4</f>
        <v>484.92999999999995</v>
      </c>
      <c r="AC4" s="94">
        <v>6.5</v>
      </c>
      <c r="AD4" s="94">
        <v>168.8</v>
      </c>
      <c r="AE4" s="128">
        <v>62.5</v>
      </c>
      <c r="AF4" s="128">
        <v>1600</v>
      </c>
      <c r="AG4" s="112">
        <f>AE4-AC4</f>
        <v>56</v>
      </c>
      <c r="AH4" s="112">
        <f>AF4-AD4</f>
        <v>1431.2</v>
      </c>
      <c r="AI4" s="94">
        <f>U4+AC4</f>
        <v>43.8</v>
      </c>
      <c r="AJ4" s="94">
        <f>V4+AD4</f>
        <v>1098.69</v>
      </c>
      <c r="AK4" s="128">
        <f>W4+AE4</f>
        <v>187.5</v>
      </c>
      <c r="AL4" s="128">
        <f>X4+AF4</f>
        <v>4800</v>
      </c>
      <c r="AM4" s="112">
        <f>AK4-AI4</f>
        <v>143.69999999999999</v>
      </c>
      <c r="AN4" s="112">
        <f>AL4-AJ4</f>
        <v>3701.31</v>
      </c>
      <c r="AO4" s="94">
        <v>124.2</v>
      </c>
      <c r="AP4" s="94">
        <v>3225.48</v>
      </c>
      <c r="AQ4" s="128">
        <v>62.5</v>
      </c>
      <c r="AR4" s="128">
        <v>1600</v>
      </c>
      <c r="AS4" s="112">
        <f>AQ4-AO4</f>
        <v>-61.7</v>
      </c>
      <c r="AT4" s="112">
        <f>AR4-AP4</f>
        <v>-1625.48</v>
      </c>
      <c r="AU4" s="94">
        <f>AI4+AO4</f>
        <v>168</v>
      </c>
      <c r="AV4" s="94">
        <f>AJ4+AO4</f>
        <v>1222.8900000000001</v>
      </c>
      <c r="AW4" s="128">
        <v>250</v>
      </c>
      <c r="AX4" s="128">
        <v>6400</v>
      </c>
      <c r="AY4" s="112">
        <f>AW4-AU4</f>
        <v>82</v>
      </c>
      <c r="AZ4" s="231">
        <f>AX4-AV4</f>
        <v>5177.1099999999997</v>
      </c>
      <c r="BA4" s="216">
        <v>176</v>
      </c>
    </row>
    <row r="5" spans="1:54" ht="16.5" thickBot="1" x14ac:dyDescent="0.3">
      <c r="A5" s="337" t="s">
        <v>138</v>
      </c>
      <c r="B5" s="337"/>
      <c r="C5" s="82"/>
      <c r="D5" s="83"/>
      <c r="E5" s="89"/>
      <c r="F5" s="89"/>
      <c r="G5" s="94"/>
      <c r="H5" s="94"/>
      <c r="I5" s="97"/>
      <c r="J5" s="97"/>
      <c r="K5" s="100"/>
      <c r="L5" s="100"/>
      <c r="M5" s="103"/>
      <c r="N5" s="104"/>
      <c r="O5" s="107"/>
      <c r="P5" s="107"/>
      <c r="Q5" s="108"/>
      <c r="R5" s="108"/>
      <c r="S5" s="80"/>
      <c r="T5" s="80"/>
      <c r="U5" s="94"/>
      <c r="V5" s="94"/>
      <c r="W5" s="111"/>
      <c r="X5" s="111"/>
      <c r="Y5" s="112"/>
      <c r="Z5" s="112"/>
      <c r="AA5" s="78"/>
      <c r="AB5" s="78"/>
      <c r="AC5" s="94"/>
      <c r="AD5" s="94"/>
      <c r="AE5" s="128"/>
      <c r="AF5" s="128"/>
      <c r="AG5" s="112"/>
      <c r="AH5" s="112"/>
      <c r="AI5" s="94">
        <f t="shared" ref="AI5:AI19" si="0">U5+AC5</f>
        <v>0</v>
      </c>
      <c r="AJ5" s="94">
        <f t="shared" ref="AJ5:AJ19" si="1">V5+AD5</f>
        <v>0</v>
      </c>
      <c r="AK5" s="128">
        <f t="shared" ref="AK5:AK19" si="2">W5+AE5</f>
        <v>0</v>
      </c>
      <c r="AL5" s="128">
        <f t="shared" ref="AL5:AL19" si="3">X5+AF5</f>
        <v>0</v>
      </c>
      <c r="AM5" s="112"/>
      <c r="AN5" s="112"/>
      <c r="AO5" s="94"/>
      <c r="AP5" s="94"/>
      <c r="AQ5" s="128"/>
      <c r="AR5" s="128"/>
      <c r="AS5" s="112"/>
      <c r="AT5" s="112"/>
      <c r="AU5" s="94">
        <f t="shared" ref="AU5:AU17" si="4">AG5+AO5</f>
        <v>0</v>
      </c>
      <c r="AV5" s="94">
        <f t="shared" ref="AV5:AV17" si="5">AH5+AP5</f>
        <v>0</v>
      </c>
      <c r="AW5" s="128">
        <f t="shared" ref="AW5:AW17" si="6">AI5+AQ5</f>
        <v>0</v>
      </c>
      <c r="AX5" s="128">
        <f t="shared" ref="AX5:AX17" si="7">AJ5+AR5</f>
        <v>0</v>
      </c>
      <c r="AY5" s="112"/>
      <c r="AZ5" s="231"/>
      <c r="BA5" s="216"/>
    </row>
    <row r="6" spans="1:54" ht="16.5" thickBot="1" x14ac:dyDescent="0.3">
      <c r="A6" s="331" t="s">
        <v>139</v>
      </c>
      <c r="B6" s="331"/>
      <c r="C6" s="82">
        <v>384</v>
      </c>
      <c r="D6" s="83">
        <v>9600</v>
      </c>
      <c r="E6" s="89">
        <v>150</v>
      </c>
      <c r="F6" s="89">
        <v>3828</v>
      </c>
      <c r="G6" s="94">
        <f>E6-C6</f>
        <v>-234</v>
      </c>
      <c r="H6" s="94">
        <f>F6-D6</f>
        <v>-5772</v>
      </c>
      <c r="I6" s="97">
        <v>144.5</v>
      </c>
      <c r="J6" s="97">
        <v>3465.11</v>
      </c>
      <c r="K6" s="100">
        <f>I6-C6</f>
        <v>-239.5</v>
      </c>
      <c r="L6" s="100">
        <f>J6-D6</f>
        <v>-6134.8899999999994</v>
      </c>
      <c r="M6" s="103">
        <v>434</v>
      </c>
      <c r="N6" s="104">
        <v>10819.62</v>
      </c>
      <c r="O6" s="107">
        <v>150</v>
      </c>
      <c r="P6" s="107">
        <v>3828</v>
      </c>
      <c r="Q6" s="108">
        <f>O6-M6</f>
        <v>-284</v>
      </c>
      <c r="R6" s="108">
        <f>P6-N6</f>
        <v>-6991.6200000000008</v>
      </c>
      <c r="S6" s="80">
        <v>293.5</v>
      </c>
      <c r="T6" s="80">
        <v>7038.13</v>
      </c>
      <c r="U6" s="94">
        <v>818</v>
      </c>
      <c r="V6" s="94">
        <v>20392.740000000002</v>
      </c>
      <c r="W6" s="111">
        <v>300</v>
      </c>
      <c r="X6" s="111">
        <v>7656</v>
      </c>
      <c r="Y6" s="112">
        <f>W6-U6</f>
        <v>-518</v>
      </c>
      <c r="Z6" s="112">
        <f>X6-V6</f>
        <v>-12736.740000000002</v>
      </c>
      <c r="AA6" s="78">
        <f>S6-U6</f>
        <v>-524.5</v>
      </c>
      <c r="AB6" s="78">
        <f>T6-V6</f>
        <v>-13354.61</v>
      </c>
      <c r="AC6" s="94">
        <v>194</v>
      </c>
      <c r="AD6" s="94">
        <v>5038.18</v>
      </c>
      <c r="AE6" s="128">
        <v>150</v>
      </c>
      <c r="AF6" s="128">
        <v>3828</v>
      </c>
      <c r="AG6" s="112">
        <f t="shared" ref="AG6:AH6" si="8">AE6-AC6</f>
        <v>-44</v>
      </c>
      <c r="AH6" s="112">
        <f t="shared" si="8"/>
        <v>-1210.1800000000003</v>
      </c>
      <c r="AI6" s="94">
        <f t="shared" si="0"/>
        <v>1012</v>
      </c>
      <c r="AJ6" s="94">
        <f t="shared" si="1"/>
        <v>25430.920000000002</v>
      </c>
      <c r="AK6" s="128">
        <f t="shared" si="2"/>
        <v>450</v>
      </c>
      <c r="AL6" s="128">
        <f t="shared" si="3"/>
        <v>11484</v>
      </c>
      <c r="AM6" s="112">
        <f t="shared" ref="AM6" si="9">AK6-AI6</f>
        <v>-562</v>
      </c>
      <c r="AN6" s="112">
        <f t="shared" ref="AN6" si="10">AL6-AJ6</f>
        <v>-13946.920000000002</v>
      </c>
      <c r="AO6" s="94">
        <v>168</v>
      </c>
      <c r="AP6" s="94">
        <v>4362.96</v>
      </c>
      <c r="AQ6" s="128">
        <v>150</v>
      </c>
      <c r="AR6" s="128">
        <v>3828</v>
      </c>
      <c r="AS6" s="112">
        <f t="shared" ref="AS6" si="11">AQ6-AO6</f>
        <v>-18</v>
      </c>
      <c r="AT6" s="112">
        <f t="shared" ref="AT6" si="12">AR6-AP6</f>
        <v>-534.96</v>
      </c>
      <c r="AU6" s="94">
        <f>AK6+AO6</f>
        <v>618</v>
      </c>
      <c r="AV6" s="94">
        <f>AJ6+AO6</f>
        <v>25598.920000000002</v>
      </c>
      <c r="AW6" s="128">
        <v>600</v>
      </c>
      <c r="AX6" s="128">
        <v>15300</v>
      </c>
      <c r="AY6" s="112">
        <f t="shared" ref="AY6" si="13">AW6-AU6</f>
        <v>-18</v>
      </c>
      <c r="AZ6" s="231">
        <f t="shared" ref="AZ6" si="14">AX6-AV6</f>
        <v>-10298.920000000002</v>
      </c>
      <c r="BA6" s="216">
        <v>1164.5</v>
      </c>
    </row>
    <row r="7" spans="1:54" ht="16.5" thickBot="1" x14ac:dyDescent="0.3">
      <c r="A7" s="331" t="s">
        <v>140</v>
      </c>
      <c r="B7" s="331"/>
      <c r="C7" s="82"/>
      <c r="D7" s="83"/>
      <c r="E7" s="89">
        <v>62.5</v>
      </c>
      <c r="F7" s="89">
        <v>1600</v>
      </c>
      <c r="G7" s="94"/>
      <c r="H7" s="94"/>
      <c r="I7" s="97"/>
      <c r="J7" s="97"/>
      <c r="K7" s="100"/>
      <c r="L7" s="100"/>
      <c r="M7" s="103"/>
      <c r="N7" s="104"/>
      <c r="O7" s="107">
        <v>62.5</v>
      </c>
      <c r="P7" s="107">
        <v>1600</v>
      </c>
      <c r="Q7" s="108">
        <v>62.5</v>
      </c>
      <c r="R7" s="108">
        <v>1600</v>
      </c>
      <c r="S7" s="80"/>
      <c r="T7" s="80"/>
      <c r="U7" s="94"/>
      <c r="V7" s="94"/>
      <c r="W7" s="111">
        <v>125</v>
      </c>
      <c r="X7" s="111">
        <v>3200</v>
      </c>
      <c r="Y7" s="112"/>
      <c r="Z7" s="112"/>
      <c r="AA7" s="78"/>
      <c r="AB7" s="78"/>
      <c r="AC7" s="94"/>
      <c r="AD7" s="94"/>
      <c r="AE7" s="128">
        <v>62.5</v>
      </c>
      <c r="AF7" s="128">
        <v>1600</v>
      </c>
      <c r="AG7" s="112"/>
      <c r="AH7" s="112"/>
      <c r="AI7" s="94">
        <f t="shared" si="0"/>
        <v>0</v>
      </c>
      <c r="AJ7" s="94">
        <f t="shared" si="1"/>
        <v>0</v>
      </c>
      <c r="AK7" s="128">
        <f t="shared" si="2"/>
        <v>187.5</v>
      </c>
      <c r="AL7" s="128">
        <f t="shared" si="3"/>
        <v>4800</v>
      </c>
      <c r="AM7" s="112"/>
      <c r="AN7" s="112"/>
      <c r="AO7" s="94"/>
      <c r="AP7" s="94"/>
      <c r="AQ7" s="128">
        <v>62.5</v>
      </c>
      <c r="AR7" s="128">
        <v>1600</v>
      </c>
      <c r="AS7" s="112"/>
      <c r="AT7" s="112"/>
      <c r="AU7" s="94">
        <f t="shared" si="4"/>
        <v>0</v>
      </c>
      <c r="AV7" s="94">
        <f t="shared" si="5"/>
        <v>0</v>
      </c>
      <c r="AW7" s="128">
        <v>250</v>
      </c>
      <c r="AX7" s="128">
        <v>6400</v>
      </c>
      <c r="AY7" s="112"/>
      <c r="AZ7" s="231"/>
      <c r="BA7" s="216">
        <v>35</v>
      </c>
    </row>
    <row r="8" spans="1:54" ht="16.5" thickBot="1" x14ac:dyDescent="0.3">
      <c r="A8" s="331" t="s">
        <v>11</v>
      </c>
      <c r="B8" s="331"/>
      <c r="C8" s="82">
        <v>203</v>
      </c>
      <c r="D8" s="83">
        <v>6500</v>
      </c>
      <c r="E8" s="89">
        <v>162.5</v>
      </c>
      <c r="F8" s="89">
        <v>4150</v>
      </c>
      <c r="G8" s="94">
        <f t="shared" ref="G8:G16" si="15">E8-C8</f>
        <v>-40.5</v>
      </c>
      <c r="H8" s="94">
        <f t="shared" ref="H8:H16" si="16">F8-D8</f>
        <v>-2350</v>
      </c>
      <c r="I8" s="97">
        <v>130</v>
      </c>
      <c r="J8" s="97">
        <v>3117.4</v>
      </c>
      <c r="K8" s="100">
        <f t="shared" ref="K8:K16" si="17">I8-C8</f>
        <v>-73</v>
      </c>
      <c r="L8" s="100">
        <f t="shared" ref="L8:L16" si="18">J8-D8</f>
        <v>-3382.6</v>
      </c>
      <c r="M8" s="103">
        <v>233</v>
      </c>
      <c r="N8" s="104">
        <v>5808.69</v>
      </c>
      <c r="O8" s="107">
        <v>162.5</v>
      </c>
      <c r="P8" s="107">
        <v>4150</v>
      </c>
      <c r="Q8" s="108">
        <f t="shared" ref="Q8:R16" si="19">O8-M8</f>
        <v>-70.5</v>
      </c>
      <c r="R8" s="108">
        <f>P8-N8</f>
        <v>-1658.6899999999996</v>
      </c>
      <c r="S8" s="80">
        <v>352</v>
      </c>
      <c r="T8" s="80">
        <v>8009.32</v>
      </c>
      <c r="U8" s="94">
        <v>436</v>
      </c>
      <c r="V8" s="94">
        <v>12359.48</v>
      </c>
      <c r="W8" s="111">
        <v>325</v>
      </c>
      <c r="X8" s="111">
        <v>8300</v>
      </c>
      <c r="Y8" s="112">
        <f t="shared" ref="Y8:Z16" si="20">W8-U8</f>
        <v>-111</v>
      </c>
      <c r="Z8" s="112">
        <f t="shared" si="20"/>
        <v>-4059.4799999999996</v>
      </c>
      <c r="AA8" s="78">
        <f t="shared" ref="AA8:AB16" si="21">S8-U8</f>
        <v>-84</v>
      </c>
      <c r="AB8" s="78">
        <f t="shared" si="21"/>
        <v>-4350.16</v>
      </c>
      <c r="AC8" s="94">
        <v>158</v>
      </c>
      <c r="AD8" s="94">
        <v>4103.26</v>
      </c>
      <c r="AE8" s="128">
        <v>162.5</v>
      </c>
      <c r="AF8" s="128">
        <v>4150</v>
      </c>
      <c r="AG8" s="112">
        <f t="shared" ref="AG8:AG16" si="22">AE8-AC8</f>
        <v>4.5</v>
      </c>
      <c r="AH8" s="112">
        <f t="shared" ref="AH8:AH16" si="23">AF8-AD8</f>
        <v>46.739999999999782</v>
      </c>
      <c r="AI8" s="94">
        <f t="shared" si="0"/>
        <v>594</v>
      </c>
      <c r="AJ8" s="94">
        <f t="shared" si="1"/>
        <v>16462.739999999998</v>
      </c>
      <c r="AK8" s="128">
        <f t="shared" si="2"/>
        <v>487.5</v>
      </c>
      <c r="AL8" s="128">
        <f t="shared" si="3"/>
        <v>12450</v>
      </c>
      <c r="AM8" s="112">
        <f t="shared" ref="AM8:AM16" si="24">AK8-AI8</f>
        <v>-106.5</v>
      </c>
      <c r="AN8" s="112">
        <f t="shared" ref="AN8:AN16" si="25">AL8-AJ8</f>
        <v>-4012.739999999998</v>
      </c>
      <c r="AO8" s="94">
        <v>223</v>
      </c>
      <c r="AP8" s="94">
        <v>5791.31</v>
      </c>
      <c r="AQ8" s="128">
        <v>162.5</v>
      </c>
      <c r="AR8" s="128">
        <v>4150</v>
      </c>
      <c r="AS8" s="112">
        <f t="shared" ref="AS8:AS16" si="26">AQ8-AO8</f>
        <v>-60.5</v>
      </c>
      <c r="AT8" s="112">
        <f t="shared" ref="AT8:AT16" si="27">AR8-AP8</f>
        <v>-1641.3100000000004</v>
      </c>
      <c r="AU8" s="94">
        <f>AI8+AO8</f>
        <v>817</v>
      </c>
      <c r="AV8" s="94">
        <f>AJ8+AP8</f>
        <v>22254.05</v>
      </c>
      <c r="AW8" s="128">
        <v>650</v>
      </c>
      <c r="AX8" s="128">
        <v>16600</v>
      </c>
      <c r="AY8" s="112">
        <f t="shared" ref="AY8:AY16" si="28">AW8-AU8</f>
        <v>-167</v>
      </c>
      <c r="AZ8" s="231">
        <f t="shared" ref="AZ8:AZ16" si="29">AX8-AV8</f>
        <v>-5654.0499999999993</v>
      </c>
      <c r="BA8" s="216">
        <v>750</v>
      </c>
    </row>
    <row r="9" spans="1:54" ht="16.5" thickBot="1" x14ac:dyDescent="0.3">
      <c r="A9" s="331" t="s">
        <v>141</v>
      </c>
      <c r="B9" s="331"/>
      <c r="C9" s="82">
        <v>47</v>
      </c>
      <c r="D9" s="83">
        <v>1200</v>
      </c>
      <c r="E9" s="89">
        <v>137.5</v>
      </c>
      <c r="F9" s="89">
        <v>3500</v>
      </c>
      <c r="G9" s="94">
        <f t="shared" si="15"/>
        <v>90.5</v>
      </c>
      <c r="H9" s="94">
        <f t="shared" si="16"/>
        <v>2300</v>
      </c>
      <c r="I9" s="97">
        <v>167</v>
      </c>
      <c r="J9" s="97">
        <v>4004.66</v>
      </c>
      <c r="K9" s="100">
        <f t="shared" si="17"/>
        <v>120</v>
      </c>
      <c r="L9" s="100">
        <f t="shared" si="18"/>
        <v>2804.66</v>
      </c>
      <c r="M9" s="103">
        <v>62</v>
      </c>
      <c r="N9" s="104">
        <v>1545.66</v>
      </c>
      <c r="O9" s="107">
        <v>137.5</v>
      </c>
      <c r="P9" s="107">
        <v>3500</v>
      </c>
      <c r="Q9" s="108">
        <f t="shared" si="19"/>
        <v>75.5</v>
      </c>
      <c r="R9" s="108">
        <f t="shared" si="19"/>
        <v>1954.34</v>
      </c>
      <c r="S9" s="80">
        <v>252</v>
      </c>
      <c r="T9" s="80">
        <v>6042.96</v>
      </c>
      <c r="U9" s="94">
        <v>109</v>
      </c>
      <c r="V9" s="94">
        <v>2717.37</v>
      </c>
      <c r="W9" s="111">
        <v>275</v>
      </c>
      <c r="X9" s="111">
        <v>7000</v>
      </c>
      <c r="Y9" s="112">
        <f t="shared" si="20"/>
        <v>166</v>
      </c>
      <c r="Z9" s="112">
        <f t="shared" si="20"/>
        <v>4282.63</v>
      </c>
      <c r="AA9" s="78">
        <f t="shared" si="21"/>
        <v>143</v>
      </c>
      <c r="AB9" s="78">
        <f t="shared" si="21"/>
        <v>3325.59</v>
      </c>
      <c r="AC9" s="94">
        <v>51</v>
      </c>
      <c r="AD9" s="94">
        <v>1324.47</v>
      </c>
      <c r="AE9" s="128">
        <v>137.5</v>
      </c>
      <c r="AF9" s="128">
        <v>3500</v>
      </c>
      <c r="AG9" s="112">
        <f t="shared" si="22"/>
        <v>86.5</v>
      </c>
      <c r="AH9" s="112">
        <f t="shared" si="23"/>
        <v>2175.5299999999997</v>
      </c>
      <c r="AI9" s="94">
        <f t="shared" si="0"/>
        <v>160</v>
      </c>
      <c r="AJ9" s="94">
        <f t="shared" si="1"/>
        <v>4041.84</v>
      </c>
      <c r="AK9" s="128">
        <f t="shared" si="2"/>
        <v>412.5</v>
      </c>
      <c r="AL9" s="128">
        <f t="shared" si="3"/>
        <v>10500</v>
      </c>
      <c r="AM9" s="112">
        <f t="shared" si="24"/>
        <v>252.5</v>
      </c>
      <c r="AN9" s="112">
        <f t="shared" si="25"/>
        <v>6458.16</v>
      </c>
      <c r="AO9" s="94">
        <v>66</v>
      </c>
      <c r="AP9" s="94">
        <v>1714.02</v>
      </c>
      <c r="AQ9" s="128">
        <v>137.5</v>
      </c>
      <c r="AR9" s="128">
        <v>3500</v>
      </c>
      <c r="AS9" s="112">
        <f t="shared" si="26"/>
        <v>71.5</v>
      </c>
      <c r="AT9" s="112">
        <f t="shared" si="27"/>
        <v>1785.98</v>
      </c>
      <c r="AU9" s="94">
        <f t="shared" ref="AU9:AU16" si="30">AI9+AO9</f>
        <v>226</v>
      </c>
      <c r="AV9" s="94">
        <f>AJ9+AO9</f>
        <v>4107.84</v>
      </c>
      <c r="AW9" s="128">
        <v>550</v>
      </c>
      <c r="AX9" s="128">
        <v>14000</v>
      </c>
      <c r="AY9" s="112">
        <f t="shared" si="28"/>
        <v>324</v>
      </c>
      <c r="AZ9" s="231">
        <f t="shared" si="29"/>
        <v>9892.16</v>
      </c>
      <c r="BA9" s="216">
        <v>382</v>
      </c>
    </row>
    <row r="10" spans="1:54" ht="16.5" thickBot="1" x14ac:dyDescent="0.3">
      <c r="A10" s="331" t="s">
        <v>142</v>
      </c>
      <c r="B10" s="331"/>
      <c r="C10" s="82">
        <v>310</v>
      </c>
      <c r="D10" s="83">
        <v>7700</v>
      </c>
      <c r="E10" s="89">
        <v>275</v>
      </c>
      <c r="F10" s="89">
        <v>7000</v>
      </c>
      <c r="G10" s="94">
        <f t="shared" si="15"/>
        <v>-35</v>
      </c>
      <c r="H10" s="94">
        <f t="shared" si="16"/>
        <v>-700</v>
      </c>
      <c r="I10" s="97">
        <v>239</v>
      </c>
      <c r="J10" s="97">
        <v>5731.18</v>
      </c>
      <c r="K10" s="100">
        <f t="shared" si="17"/>
        <v>-71</v>
      </c>
      <c r="L10" s="100">
        <f t="shared" si="18"/>
        <v>-1968.8199999999997</v>
      </c>
      <c r="M10" s="103">
        <v>313</v>
      </c>
      <c r="N10" s="104">
        <v>7803.09</v>
      </c>
      <c r="O10" s="107">
        <v>275</v>
      </c>
      <c r="P10" s="107">
        <v>7000</v>
      </c>
      <c r="Q10" s="108">
        <f t="shared" si="19"/>
        <v>-38</v>
      </c>
      <c r="R10" s="108">
        <f t="shared" si="19"/>
        <v>-803.09000000000015</v>
      </c>
      <c r="S10" s="80">
        <v>469</v>
      </c>
      <c r="T10" s="80">
        <v>12541.5</v>
      </c>
      <c r="U10" s="94">
        <v>623</v>
      </c>
      <c r="V10" s="94">
        <v>15531.39</v>
      </c>
      <c r="W10" s="111">
        <v>550</v>
      </c>
      <c r="X10" s="111">
        <v>14000</v>
      </c>
      <c r="Y10" s="112">
        <f t="shared" si="20"/>
        <v>-73</v>
      </c>
      <c r="Z10" s="112">
        <f t="shared" si="20"/>
        <v>-1531.3899999999994</v>
      </c>
      <c r="AA10" s="78">
        <f t="shared" si="21"/>
        <v>-154</v>
      </c>
      <c r="AB10" s="78">
        <f t="shared" si="21"/>
        <v>-2989.8899999999994</v>
      </c>
      <c r="AC10" s="94">
        <v>226</v>
      </c>
      <c r="AD10" s="94">
        <v>5869.22</v>
      </c>
      <c r="AE10" s="128">
        <v>275</v>
      </c>
      <c r="AF10" s="128">
        <v>7000</v>
      </c>
      <c r="AG10" s="112">
        <f t="shared" si="22"/>
        <v>49</v>
      </c>
      <c r="AH10" s="112">
        <f t="shared" si="23"/>
        <v>1130.7799999999997</v>
      </c>
      <c r="AI10" s="94">
        <f t="shared" si="0"/>
        <v>849</v>
      </c>
      <c r="AJ10" s="94">
        <f t="shared" si="1"/>
        <v>21400.61</v>
      </c>
      <c r="AK10" s="128">
        <f t="shared" si="2"/>
        <v>825</v>
      </c>
      <c r="AL10" s="128">
        <f t="shared" si="3"/>
        <v>21000</v>
      </c>
      <c r="AM10" s="112">
        <f t="shared" si="24"/>
        <v>-24</v>
      </c>
      <c r="AN10" s="112">
        <f t="shared" si="25"/>
        <v>-400.61000000000058</v>
      </c>
      <c r="AO10" s="94">
        <v>270</v>
      </c>
      <c r="AP10" s="94">
        <v>7011.9</v>
      </c>
      <c r="AQ10" s="128">
        <v>275</v>
      </c>
      <c r="AR10" s="128">
        <v>7000</v>
      </c>
      <c r="AS10" s="112">
        <f t="shared" si="26"/>
        <v>5</v>
      </c>
      <c r="AT10" s="112">
        <f t="shared" si="27"/>
        <v>-11.899999999999636</v>
      </c>
      <c r="AU10" s="94">
        <f t="shared" si="30"/>
        <v>1119</v>
      </c>
      <c r="AV10" s="94">
        <f>AL10+AP10</f>
        <v>28011.9</v>
      </c>
      <c r="AW10" s="128">
        <v>1100</v>
      </c>
      <c r="AX10" s="128">
        <v>28000</v>
      </c>
      <c r="AY10" s="112">
        <f t="shared" si="28"/>
        <v>-19</v>
      </c>
      <c r="AZ10" s="231">
        <f t="shared" si="29"/>
        <v>-11.900000000001455</v>
      </c>
      <c r="BA10" s="216">
        <v>983</v>
      </c>
    </row>
    <row r="11" spans="1:54" ht="16.5" thickBot="1" x14ac:dyDescent="0.3">
      <c r="A11" s="331" t="s">
        <v>143</v>
      </c>
      <c r="B11" s="331"/>
      <c r="C11" s="82">
        <v>300</v>
      </c>
      <c r="D11" s="83">
        <v>7500</v>
      </c>
      <c r="E11" s="89">
        <v>250</v>
      </c>
      <c r="F11" s="89">
        <v>6375</v>
      </c>
      <c r="G11" s="94">
        <f t="shared" si="15"/>
        <v>-50</v>
      </c>
      <c r="H11" s="94">
        <f t="shared" si="16"/>
        <v>-1125</v>
      </c>
      <c r="I11" s="97">
        <v>204.5</v>
      </c>
      <c r="J11" s="97">
        <v>4903.88</v>
      </c>
      <c r="K11" s="100">
        <f t="shared" si="17"/>
        <v>-95.5</v>
      </c>
      <c r="L11" s="100">
        <f t="shared" si="18"/>
        <v>-2596.12</v>
      </c>
      <c r="M11" s="103">
        <v>190</v>
      </c>
      <c r="N11" s="104">
        <v>4736.7</v>
      </c>
      <c r="O11" s="107">
        <v>250</v>
      </c>
      <c r="P11" s="107">
        <v>6375</v>
      </c>
      <c r="Q11" s="108">
        <f t="shared" si="19"/>
        <v>60</v>
      </c>
      <c r="R11" s="108">
        <f t="shared" si="19"/>
        <v>1638.3000000000002</v>
      </c>
      <c r="S11" s="80">
        <v>491.5</v>
      </c>
      <c r="T11" s="80">
        <v>12087.1</v>
      </c>
      <c r="U11" s="94">
        <v>490</v>
      </c>
      <c r="V11" s="94">
        <v>12215.7</v>
      </c>
      <c r="W11" s="111">
        <v>500</v>
      </c>
      <c r="X11" s="111">
        <v>12750</v>
      </c>
      <c r="Y11" s="112">
        <f t="shared" si="20"/>
        <v>10</v>
      </c>
      <c r="Z11" s="112">
        <f t="shared" si="20"/>
        <v>534.29999999999927</v>
      </c>
      <c r="AA11" s="78">
        <f t="shared" si="21"/>
        <v>1.5</v>
      </c>
      <c r="AB11" s="78">
        <f t="shared" si="21"/>
        <v>-128.60000000000036</v>
      </c>
      <c r="AC11" s="94">
        <v>180</v>
      </c>
      <c r="AD11" s="94">
        <v>4674.6000000000004</v>
      </c>
      <c r="AE11" s="128">
        <v>250</v>
      </c>
      <c r="AF11" s="128">
        <v>6375</v>
      </c>
      <c r="AG11" s="112">
        <f t="shared" si="22"/>
        <v>70</v>
      </c>
      <c r="AH11" s="112">
        <f t="shared" si="23"/>
        <v>1700.3999999999996</v>
      </c>
      <c r="AI11" s="94">
        <f t="shared" si="0"/>
        <v>670</v>
      </c>
      <c r="AJ11" s="94">
        <f t="shared" si="1"/>
        <v>16890.300000000003</v>
      </c>
      <c r="AK11" s="128">
        <f t="shared" si="2"/>
        <v>750</v>
      </c>
      <c r="AL11" s="128">
        <f t="shared" si="3"/>
        <v>19125</v>
      </c>
      <c r="AM11" s="112">
        <f t="shared" si="24"/>
        <v>80</v>
      </c>
      <c r="AN11" s="112">
        <f t="shared" si="25"/>
        <v>2234.6999999999971</v>
      </c>
      <c r="AO11" s="94">
        <v>260</v>
      </c>
      <c r="AP11" s="94">
        <v>6752.2</v>
      </c>
      <c r="AQ11" s="128">
        <v>250</v>
      </c>
      <c r="AR11" s="128">
        <v>6375</v>
      </c>
      <c r="AS11" s="112">
        <f t="shared" si="26"/>
        <v>-10</v>
      </c>
      <c r="AT11" s="112">
        <f t="shared" si="27"/>
        <v>-377.19999999999982</v>
      </c>
      <c r="AU11" s="94">
        <f t="shared" si="30"/>
        <v>930</v>
      </c>
      <c r="AV11" s="94">
        <f t="shared" ref="AV11:AV16" si="31">AJ11+AP11</f>
        <v>23642.500000000004</v>
      </c>
      <c r="AW11" s="128">
        <v>1000</v>
      </c>
      <c r="AX11" s="128">
        <v>25500</v>
      </c>
      <c r="AY11" s="112">
        <f t="shared" si="28"/>
        <v>70</v>
      </c>
      <c r="AZ11" s="231">
        <f t="shared" si="29"/>
        <v>1857.4999999999964</v>
      </c>
      <c r="BA11" s="216">
        <v>882.5</v>
      </c>
    </row>
    <row r="12" spans="1:54" ht="16.5" thickBot="1" x14ac:dyDescent="0.3">
      <c r="A12" s="331" t="s">
        <v>144</v>
      </c>
      <c r="B12" s="331"/>
      <c r="C12" s="82">
        <v>520</v>
      </c>
      <c r="D12" s="83">
        <v>18500</v>
      </c>
      <c r="E12" s="89">
        <v>600</v>
      </c>
      <c r="F12" s="89">
        <v>15275</v>
      </c>
      <c r="G12" s="94">
        <f t="shared" si="15"/>
        <v>80</v>
      </c>
      <c r="H12" s="94">
        <f t="shared" si="16"/>
        <v>-3225</v>
      </c>
      <c r="I12" s="97">
        <v>527</v>
      </c>
      <c r="J12" s="97">
        <v>12637.46</v>
      </c>
      <c r="K12" s="100">
        <f t="shared" si="17"/>
        <v>7</v>
      </c>
      <c r="L12" s="100">
        <f t="shared" si="18"/>
        <v>-5862.5400000000009</v>
      </c>
      <c r="M12" s="103">
        <v>547</v>
      </c>
      <c r="N12" s="104">
        <v>13636.71</v>
      </c>
      <c r="O12" s="107">
        <v>600</v>
      </c>
      <c r="P12" s="107">
        <v>15275</v>
      </c>
      <c r="Q12" s="108">
        <f t="shared" si="19"/>
        <v>53</v>
      </c>
      <c r="R12" s="108">
        <f t="shared" si="19"/>
        <v>1638.2900000000009</v>
      </c>
      <c r="S12" s="80">
        <v>1211</v>
      </c>
      <c r="T12" s="80">
        <v>29933.54</v>
      </c>
      <c r="U12" s="94">
        <v>1072</v>
      </c>
      <c r="V12" s="94">
        <v>32118.76</v>
      </c>
      <c r="W12" s="111">
        <v>1200</v>
      </c>
      <c r="X12" s="111">
        <v>30550</v>
      </c>
      <c r="Y12" s="112">
        <f t="shared" si="20"/>
        <v>128</v>
      </c>
      <c r="Z12" s="112">
        <f t="shared" si="20"/>
        <v>-1568.7599999999984</v>
      </c>
      <c r="AA12" s="78">
        <f t="shared" si="21"/>
        <v>139</v>
      </c>
      <c r="AB12" s="78">
        <f t="shared" si="21"/>
        <v>-2185.2199999999975</v>
      </c>
      <c r="AC12" s="94">
        <v>201</v>
      </c>
      <c r="AD12" s="94">
        <v>5219.97</v>
      </c>
      <c r="AE12" s="128">
        <v>600</v>
      </c>
      <c r="AF12" s="128">
        <v>15275</v>
      </c>
      <c r="AG12" s="112">
        <f t="shared" si="22"/>
        <v>399</v>
      </c>
      <c r="AH12" s="112">
        <f t="shared" si="23"/>
        <v>10055.029999999999</v>
      </c>
      <c r="AI12" s="94">
        <f t="shared" si="0"/>
        <v>1273</v>
      </c>
      <c r="AJ12" s="94">
        <f t="shared" si="1"/>
        <v>37338.729999999996</v>
      </c>
      <c r="AK12" s="128">
        <f t="shared" si="2"/>
        <v>1800</v>
      </c>
      <c r="AL12" s="128">
        <f t="shared" si="3"/>
        <v>45825</v>
      </c>
      <c r="AM12" s="112">
        <f t="shared" si="24"/>
        <v>527</v>
      </c>
      <c r="AN12" s="112">
        <f t="shared" si="25"/>
        <v>8486.2700000000041</v>
      </c>
      <c r="AO12" s="94">
        <v>232</v>
      </c>
      <c r="AP12" s="94">
        <v>6025.04</v>
      </c>
      <c r="AQ12" s="128">
        <v>600</v>
      </c>
      <c r="AR12" s="128">
        <v>15275</v>
      </c>
      <c r="AS12" s="112">
        <f t="shared" si="26"/>
        <v>368</v>
      </c>
      <c r="AT12" s="112">
        <f t="shared" si="27"/>
        <v>9249.9599999999991</v>
      </c>
      <c r="AU12" s="94">
        <f t="shared" si="30"/>
        <v>1505</v>
      </c>
      <c r="AV12" s="94">
        <f t="shared" si="31"/>
        <v>43363.77</v>
      </c>
      <c r="AW12" s="128">
        <v>2400</v>
      </c>
      <c r="AX12" s="128">
        <v>61100</v>
      </c>
      <c r="AY12" s="112">
        <f t="shared" si="28"/>
        <v>895</v>
      </c>
      <c r="AZ12" s="231">
        <f t="shared" si="29"/>
        <v>17736.230000000003</v>
      </c>
      <c r="BA12" s="216">
        <v>2300</v>
      </c>
    </row>
    <row r="13" spans="1:54" ht="16.5" thickBot="1" x14ac:dyDescent="0.3">
      <c r="A13" s="327" t="s">
        <v>21</v>
      </c>
      <c r="B13" s="327"/>
      <c r="C13" s="82">
        <v>68</v>
      </c>
      <c r="D13" s="83">
        <v>1700</v>
      </c>
      <c r="E13" s="89">
        <v>62.5</v>
      </c>
      <c r="F13" s="89">
        <v>1600</v>
      </c>
      <c r="G13" s="94">
        <f t="shared" si="15"/>
        <v>-5.5</v>
      </c>
      <c r="H13" s="94">
        <f t="shared" si="16"/>
        <v>-100</v>
      </c>
      <c r="I13" s="97">
        <v>92</v>
      </c>
      <c r="J13" s="97">
        <v>2206.16</v>
      </c>
      <c r="K13" s="100">
        <f t="shared" si="17"/>
        <v>24</v>
      </c>
      <c r="L13" s="100">
        <f t="shared" si="18"/>
        <v>506.15999999999985</v>
      </c>
      <c r="M13" s="103">
        <v>49</v>
      </c>
      <c r="N13" s="104">
        <v>1221.57</v>
      </c>
      <c r="O13" s="107">
        <v>62.5</v>
      </c>
      <c r="P13" s="107">
        <v>1600</v>
      </c>
      <c r="Q13" s="108">
        <f t="shared" si="19"/>
        <v>13.5</v>
      </c>
      <c r="R13" s="108">
        <f t="shared" si="19"/>
        <v>378.43000000000006</v>
      </c>
      <c r="S13" s="80">
        <v>124</v>
      </c>
      <c r="T13" s="80">
        <v>2973.52</v>
      </c>
      <c r="U13" s="94">
        <v>117</v>
      </c>
      <c r="V13" s="94">
        <v>2916.81</v>
      </c>
      <c r="W13" s="111">
        <v>125</v>
      </c>
      <c r="X13" s="111">
        <v>3200</v>
      </c>
      <c r="Y13" s="112">
        <f t="shared" si="20"/>
        <v>8</v>
      </c>
      <c r="Z13" s="112">
        <f t="shared" si="20"/>
        <v>283.19000000000005</v>
      </c>
      <c r="AA13" s="78">
        <f t="shared" si="21"/>
        <v>7</v>
      </c>
      <c r="AB13" s="78">
        <f t="shared" si="21"/>
        <v>56.710000000000036</v>
      </c>
      <c r="AC13" s="94">
        <v>58</v>
      </c>
      <c r="AD13" s="94">
        <v>1506.26</v>
      </c>
      <c r="AE13" s="128">
        <v>62.5</v>
      </c>
      <c r="AF13" s="128">
        <v>1600</v>
      </c>
      <c r="AG13" s="112">
        <f t="shared" si="22"/>
        <v>4.5</v>
      </c>
      <c r="AH13" s="112">
        <f t="shared" si="23"/>
        <v>93.740000000000009</v>
      </c>
      <c r="AI13" s="94">
        <f t="shared" si="0"/>
        <v>175</v>
      </c>
      <c r="AJ13" s="94">
        <f t="shared" si="1"/>
        <v>4423.07</v>
      </c>
      <c r="AK13" s="128">
        <f t="shared" si="2"/>
        <v>187.5</v>
      </c>
      <c r="AL13" s="128">
        <f t="shared" si="3"/>
        <v>4800</v>
      </c>
      <c r="AM13" s="112">
        <f t="shared" si="24"/>
        <v>12.5</v>
      </c>
      <c r="AN13" s="112">
        <f t="shared" si="25"/>
        <v>376.93000000000029</v>
      </c>
      <c r="AO13" s="94">
        <v>53</v>
      </c>
      <c r="AP13" s="94">
        <v>1376.41</v>
      </c>
      <c r="AQ13" s="128">
        <v>62.5</v>
      </c>
      <c r="AR13" s="128">
        <v>1600</v>
      </c>
      <c r="AS13" s="112">
        <f t="shared" si="26"/>
        <v>9.5</v>
      </c>
      <c r="AT13" s="112">
        <f t="shared" si="27"/>
        <v>223.58999999999992</v>
      </c>
      <c r="AU13" s="94">
        <f t="shared" si="30"/>
        <v>228</v>
      </c>
      <c r="AV13" s="94">
        <f t="shared" si="31"/>
        <v>5799.48</v>
      </c>
      <c r="AW13" s="128">
        <v>250</v>
      </c>
      <c r="AX13" s="128">
        <v>6400</v>
      </c>
      <c r="AY13" s="112">
        <f t="shared" si="28"/>
        <v>22</v>
      </c>
      <c r="AZ13" s="231">
        <f t="shared" si="29"/>
        <v>600.52000000000044</v>
      </c>
      <c r="BA13" s="216">
        <v>235.8</v>
      </c>
    </row>
    <row r="14" spans="1:54" ht="16.5" thickBot="1" x14ac:dyDescent="0.3">
      <c r="A14" s="327" t="s">
        <v>145</v>
      </c>
      <c r="B14" s="327"/>
      <c r="C14" s="82">
        <v>21</v>
      </c>
      <c r="D14" s="83">
        <v>520</v>
      </c>
      <c r="E14" s="89">
        <v>40</v>
      </c>
      <c r="F14" s="89">
        <v>1025</v>
      </c>
      <c r="G14" s="94">
        <f t="shared" si="15"/>
        <v>19</v>
      </c>
      <c r="H14" s="94">
        <f t="shared" si="16"/>
        <v>505</v>
      </c>
      <c r="I14" s="97">
        <v>24</v>
      </c>
      <c r="J14" s="97">
        <v>575.52</v>
      </c>
      <c r="K14" s="100">
        <f t="shared" si="17"/>
        <v>3</v>
      </c>
      <c r="L14" s="100">
        <f t="shared" si="18"/>
        <v>55.519999999999982</v>
      </c>
      <c r="M14" s="103">
        <v>25</v>
      </c>
      <c r="N14" s="104">
        <v>623.25</v>
      </c>
      <c r="O14" s="107">
        <v>40</v>
      </c>
      <c r="P14" s="107">
        <v>1025</v>
      </c>
      <c r="Q14" s="108">
        <f t="shared" si="19"/>
        <v>15</v>
      </c>
      <c r="R14" s="108">
        <f t="shared" si="19"/>
        <v>401.75</v>
      </c>
      <c r="S14" s="80">
        <v>43</v>
      </c>
      <c r="T14" s="80">
        <v>1031.1400000000001</v>
      </c>
      <c r="U14" s="94">
        <v>46</v>
      </c>
      <c r="V14" s="94">
        <v>1148.78</v>
      </c>
      <c r="W14" s="111">
        <v>80</v>
      </c>
      <c r="X14" s="111">
        <v>2050</v>
      </c>
      <c r="Y14" s="112">
        <f t="shared" si="20"/>
        <v>34</v>
      </c>
      <c r="Z14" s="112">
        <f t="shared" si="20"/>
        <v>901.22</v>
      </c>
      <c r="AA14" s="78">
        <f t="shared" si="21"/>
        <v>-3</v>
      </c>
      <c r="AB14" s="78">
        <f t="shared" si="21"/>
        <v>-117.63999999999987</v>
      </c>
      <c r="AC14" s="94">
        <v>9</v>
      </c>
      <c r="AD14" s="94">
        <v>233.73</v>
      </c>
      <c r="AE14" s="128">
        <v>40</v>
      </c>
      <c r="AF14" s="128">
        <v>1025</v>
      </c>
      <c r="AG14" s="112">
        <f t="shared" si="22"/>
        <v>31</v>
      </c>
      <c r="AH14" s="112">
        <f t="shared" si="23"/>
        <v>791.27</v>
      </c>
      <c r="AI14" s="94">
        <f t="shared" si="0"/>
        <v>55</v>
      </c>
      <c r="AJ14" s="94">
        <f t="shared" si="1"/>
        <v>1382.51</v>
      </c>
      <c r="AK14" s="128">
        <f t="shared" si="2"/>
        <v>120</v>
      </c>
      <c r="AL14" s="128">
        <f t="shared" si="3"/>
        <v>3075</v>
      </c>
      <c r="AM14" s="112">
        <f t="shared" si="24"/>
        <v>65</v>
      </c>
      <c r="AN14" s="112">
        <f t="shared" si="25"/>
        <v>1692.49</v>
      </c>
      <c r="AO14" s="94">
        <v>23</v>
      </c>
      <c r="AP14" s="94">
        <v>597.30999999999995</v>
      </c>
      <c r="AQ14" s="128">
        <v>40</v>
      </c>
      <c r="AR14" s="128">
        <v>1025</v>
      </c>
      <c r="AS14" s="112">
        <f t="shared" si="26"/>
        <v>17</v>
      </c>
      <c r="AT14" s="112">
        <f t="shared" si="27"/>
        <v>427.69000000000005</v>
      </c>
      <c r="AU14" s="94">
        <f t="shared" si="30"/>
        <v>78</v>
      </c>
      <c r="AV14" s="94">
        <f t="shared" si="31"/>
        <v>1979.82</v>
      </c>
      <c r="AW14" s="128">
        <v>160</v>
      </c>
      <c r="AX14" s="128">
        <v>4100</v>
      </c>
      <c r="AY14" s="112">
        <f t="shared" si="28"/>
        <v>82</v>
      </c>
      <c r="AZ14" s="231">
        <f t="shared" si="29"/>
        <v>2120.1800000000003</v>
      </c>
      <c r="BA14" s="216">
        <v>82</v>
      </c>
    </row>
    <row r="15" spans="1:54" ht="16.5" thickBot="1" x14ac:dyDescent="0.3">
      <c r="A15" s="327" t="s">
        <v>146</v>
      </c>
      <c r="B15" s="327"/>
      <c r="C15" s="82">
        <v>174</v>
      </c>
      <c r="D15" s="83">
        <v>4300</v>
      </c>
      <c r="E15" s="89">
        <v>250</v>
      </c>
      <c r="F15" s="89">
        <v>6375</v>
      </c>
      <c r="G15" s="94">
        <f t="shared" si="15"/>
        <v>76</v>
      </c>
      <c r="H15" s="94">
        <f t="shared" si="16"/>
        <v>2075</v>
      </c>
      <c r="I15" s="97">
        <v>254</v>
      </c>
      <c r="J15" s="97">
        <v>6090.92</v>
      </c>
      <c r="K15" s="100">
        <f t="shared" si="17"/>
        <v>80</v>
      </c>
      <c r="L15" s="100">
        <f t="shared" si="18"/>
        <v>1790.92</v>
      </c>
      <c r="M15" s="103">
        <v>151</v>
      </c>
      <c r="N15" s="104">
        <v>3794.23</v>
      </c>
      <c r="O15" s="107">
        <v>250</v>
      </c>
      <c r="P15" s="107">
        <v>6375</v>
      </c>
      <c r="Q15" s="108">
        <f t="shared" si="19"/>
        <v>99</v>
      </c>
      <c r="R15" s="108">
        <f t="shared" si="19"/>
        <v>2580.77</v>
      </c>
      <c r="S15" s="80">
        <v>403</v>
      </c>
      <c r="T15" s="80">
        <v>9663.94</v>
      </c>
      <c r="U15" s="94">
        <v>387</v>
      </c>
      <c r="V15" s="94">
        <v>10525.09</v>
      </c>
      <c r="W15" s="111">
        <v>500</v>
      </c>
      <c r="X15" s="111">
        <v>12750</v>
      </c>
      <c r="Y15" s="112">
        <f t="shared" si="20"/>
        <v>113</v>
      </c>
      <c r="Z15" s="112">
        <f t="shared" si="20"/>
        <v>2224.91</v>
      </c>
      <c r="AA15" s="78">
        <f t="shared" si="21"/>
        <v>16</v>
      </c>
      <c r="AB15" s="78">
        <f t="shared" si="21"/>
        <v>-861.14999999999964</v>
      </c>
      <c r="AC15" s="94">
        <v>169</v>
      </c>
      <c r="AD15" s="94">
        <v>4388.93</v>
      </c>
      <c r="AE15" s="128">
        <v>250</v>
      </c>
      <c r="AF15" s="128">
        <v>6375</v>
      </c>
      <c r="AG15" s="112">
        <f t="shared" si="22"/>
        <v>81</v>
      </c>
      <c r="AH15" s="112">
        <f t="shared" si="23"/>
        <v>1986.0699999999997</v>
      </c>
      <c r="AI15" s="94">
        <f t="shared" si="0"/>
        <v>556</v>
      </c>
      <c r="AJ15" s="94">
        <f t="shared" si="1"/>
        <v>14914.02</v>
      </c>
      <c r="AK15" s="128">
        <f t="shared" si="2"/>
        <v>750</v>
      </c>
      <c r="AL15" s="128">
        <f t="shared" si="3"/>
        <v>19125</v>
      </c>
      <c r="AM15" s="112">
        <f t="shared" si="24"/>
        <v>194</v>
      </c>
      <c r="AN15" s="112">
        <f t="shared" si="25"/>
        <v>4210.9799999999996</v>
      </c>
      <c r="AO15" s="94">
        <v>306</v>
      </c>
      <c r="AP15" s="94">
        <v>7946.82</v>
      </c>
      <c r="AQ15" s="128">
        <v>250</v>
      </c>
      <c r="AR15" s="128">
        <v>6375</v>
      </c>
      <c r="AS15" s="112">
        <f t="shared" si="26"/>
        <v>-56</v>
      </c>
      <c r="AT15" s="112">
        <f t="shared" si="27"/>
        <v>-1571.8199999999997</v>
      </c>
      <c r="AU15" s="94">
        <f t="shared" si="30"/>
        <v>862</v>
      </c>
      <c r="AV15" s="94">
        <f t="shared" si="31"/>
        <v>22860.84</v>
      </c>
      <c r="AW15" s="128">
        <v>1000</v>
      </c>
      <c r="AX15" s="128">
        <v>25500</v>
      </c>
      <c r="AY15" s="112">
        <f t="shared" si="28"/>
        <v>138</v>
      </c>
      <c r="AZ15" s="231">
        <f t="shared" si="29"/>
        <v>2639.16</v>
      </c>
      <c r="BA15" s="216">
        <v>1115</v>
      </c>
    </row>
    <row r="16" spans="1:54" ht="16.5" thickBot="1" x14ac:dyDescent="0.3">
      <c r="A16" s="327" t="s">
        <v>147</v>
      </c>
      <c r="B16" s="327"/>
      <c r="C16" s="82">
        <v>196</v>
      </c>
      <c r="D16" s="83">
        <v>4900</v>
      </c>
      <c r="E16" s="89">
        <v>125</v>
      </c>
      <c r="F16" s="89">
        <v>3200</v>
      </c>
      <c r="G16" s="94">
        <f t="shared" si="15"/>
        <v>-71</v>
      </c>
      <c r="H16" s="94">
        <f t="shared" si="16"/>
        <v>-1700</v>
      </c>
      <c r="I16" s="97">
        <v>179</v>
      </c>
      <c r="J16" s="97">
        <v>4292.42</v>
      </c>
      <c r="K16" s="100">
        <f t="shared" si="17"/>
        <v>-17</v>
      </c>
      <c r="L16" s="100">
        <f t="shared" si="18"/>
        <v>-607.57999999999993</v>
      </c>
      <c r="M16" s="103">
        <v>213</v>
      </c>
      <c r="N16" s="104">
        <v>5339.89</v>
      </c>
      <c r="O16" s="107">
        <v>125</v>
      </c>
      <c r="P16" s="107">
        <v>3200</v>
      </c>
      <c r="Q16" s="108">
        <f t="shared" si="19"/>
        <v>-88</v>
      </c>
      <c r="R16" s="108">
        <f t="shared" si="19"/>
        <v>-2139.8900000000003</v>
      </c>
      <c r="S16" s="80">
        <v>474</v>
      </c>
      <c r="T16" s="80">
        <v>11366.52</v>
      </c>
      <c r="U16" s="94">
        <v>418</v>
      </c>
      <c r="V16" s="94">
        <v>10420.74</v>
      </c>
      <c r="W16" s="111">
        <v>250</v>
      </c>
      <c r="X16" s="111">
        <v>6400</v>
      </c>
      <c r="Y16" s="112">
        <f t="shared" si="20"/>
        <v>-168</v>
      </c>
      <c r="Z16" s="112">
        <f t="shared" si="20"/>
        <v>-4020.74</v>
      </c>
      <c r="AA16" s="78">
        <f t="shared" si="21"/>
        <v>56</v>
      </c>
      <c r="AB16" s="78">
        <f t="shared" si="21"/>
        <v>945.78000000000065</v>
      </c>
      <c r="AC16" s="94">
        <v>132</v>
      </c>
      <c r="AD16" s="94">
        <v>3428.04</v>
      </c>
      <c r="AE16" s="128">
        <v>125</v>
      </c>
      <c r="AF16" s="128">
        <v>3200</v>
      </c>
      <c r="AG16" s="112">
        <f t="shared" si="22"/>
        <v>-7</v>
      </c>
      <c r="AH16" s="112">
        <f t="shared" si="23"/>
        <v>-228.03999999999996</v>
      </c>
      <c r="AI16" s="94">
        <f t="shared" si="0"/>
        <v>550</v>
      </c>
      <c r="AJ16" s="94">
        <f t="shared" si="1"/>
        <v>13848.779999999999</v>
      </c>
      <c r="AK16" s="128">
        <f t="shared" si="2"/>
        <v>375</v>
      </c>
      <c r="AL16" s="128">
        <f t="shared" si="3"/>
        <v>9600</v>
      </c>
      <c r="AM16" s="112">
        <f t="shared" si="24"/>
        <v>-175</v>
      </c>
      <c r="AN16" s="112">
        <f t="shared" si="25"/>
        <v>-4248.7799999999988</v>
      </c>
      <c r="AO16" s="94">
        <v>193</v>
      </c>
      <c r="AP16" s="94">
        <v>5012.21</v>
      </c>
      <c r="AQ16" s="128">
        <v>125</v>
      </c>
      <c r="AR16" s="128">
        <v>3200</v>
      </c>
      <c r="AS16" s="112">
        <f t="shared" si="26"/>
        <v>-68</v>
      </c>
      <c r="AT16" s="112">
        <f t="shared" si="27"/>
        <v>-1812.21</v>
      </c>
      <c r="AU16" s="94">
        <f t="shared" si="30"/>
        <v>743</v>
      </c>
      <c r="AV16" s="94">
        <f t="shared" si="31"/>
        <v>18860.989999999998</v>
      </c>
      <c r="AW16" s="128">
        <v>500</v>
      </c>
      <c r="AX16" s="128">
        <v>12800</v>
      </c>
      <c r="AY16" s="112">
        <f t="shared" si="28"/>
        <v>-243</v>
      </c>
      <c r="AZ16" s="231">
        <f t="shared" si="29"/>
        <v>-6060.989999999998</v>
      </c>
      <c r="BA16" s="216">
        <v>832</v>
      </c>
    </row>
    <row r="17" spans="1:53" ht="16.5" thickBot="1" x14ac:dyDescent="0.3">
      <c r="A17" s="327" t="s">
        <v>148</v>
      </c>
      <c r="B17" s="327"/>
      <c r="C17" s="84"/>
      <c r="D17" s="84"/>
      <c r="E17" s="89"/>
      <c r="F17" s="89"/>
      <c r="G17" s="94"/>
      <c r="H17" s="94"/>
      <c r="I17" s="97"/>
      <c r="J17" s="97"/>
      <c r="K17" s="100"/>
      <c r="L17" s="100"/>
      <c r="M17" s="105"/>
      <c r="N17" s="105"/>
      <c r="O17" s="107"/>
      <c r="P17" s="107"/>
      <c r="Q17" s="108"/>
      <c r="R17" s="108"/>
      <c r="S17" s="80"/>
      <c r="T17" s="80"/>
      <c r="U17" s="94"/>
      <c r="V17" s="94"/>
      <c r="W17" s="111"/>
      <c r="X17" s="111"/>
      <c r="Y17" s="112"/>
      <c r="Z17" s="112"/>
      <c r="AA17" s="78"/>
      <c r="AB17" s="78"/>
      <c r="AC17" s="94"/>
      <c r="AD17" s="94"/>
      <c r="AE17" s="128"/>
      <c r="AF17" s="128"/>
      <c r="AG17" s="112"/>
      <c r="AH17" s="112"/>
      <c r="AI17" s="94">
        <f t="shared" si="0"/>
        <v>0</v>
      </c>
      <c r="AJ17" s="94">
        <f t="shared" si="1"/>
        <v>0</v>
      </c>
      <c r="AK17" s="128">
        <f t="shared" si="2"/>
        <v>0</v>
      </c>
      <c r="AL17" s="128">
        <f t="shared" si="3"/>
        <v>0</v>
      </c>
      <c r="AM17" s="112"/>
      <c r="AN17" s="112"/>
      <c r="AO17" s="94"/>
      <c r="AP17" s="94"/>
      <c r="AQ17" s="128"/>
      <c r="AR17" s="128"/>
      <c r="AS17" s="112"/>
      <c r="AT17" s="112"/>
      <c r="AU17" s="94">
        <f t="shared" si="4"/>
        <v>0</v>
      </c>
      <c r="AV17" s="94">
        <f t="shared" si="5"/>
        <v>0</v>
      </c>
      <c r="AW17" s="128">
        <f t="shared" si="6"/>
        <v>0</v>
      </c>
      <c r="AX17" s="128">
        <f t="shared" si="7"/>
        <v>0</v>
      </c>
      <c r="AY17" s="112"/>
      <c r="AZ17" s="231"/>
      <c r="BA17" s="216"/>
    </row>
    <row r="18" spans="1:53" ht="16.5" thickBot="1" x14ac:dyDescent="0.3">
      <c r="A18" s="327" t="s">
        <v>80</v>
      </c>
      <c r="B18" s="327"/>
      <c r="C18" s="82">
        <v>32</v>
      </c>
      <c r="D18" s="83">
        <v>800</v>
      </c>
      <c r="E18" s="89">
        <v>107.5</v>
      </c>
      <c r="F18" s="89">
        <v>2750</v>
      </c>
      <c r="G18" s="94">
        <f t="shared" ref="G18:G53" si="32">E18-C18</f>
        <v>75.5</v>
      </c>
      <c r="H18" s="94">
        <f t="shared" ref="H18:H53" si="33">F18-D18</f>
        <v>1950</v>
      </c>
      <c r="I18" s="97">
        <v>99.1</v>
      </c>
      <c r="J18" s="97">
        <v>2376.41</v>
      </c>
      <c r="K18" s="100">
        <f t="shared" ref="K18:L24" si="34">I18-C18</f>
        <v>67.099999999999994</v>
      </c>
      <c r="L18" s="100">
        <f t="shared" si="34"/>
        <v>1576.4099999999999</v>
      </c>
      <c r="M18" s="103">
        <v>65.38</v>
      </c>
      <c r="N18" s="104">
        <v>1629.92</v>
      </c>
      <c r="O18" s="107">
        <v>107.5</v>
      </c>
      <c r="P18" s="107">
        <v>2750</v>
      </c>
      <c r="Q18" s="108">
        <f t="shared" ref="Q18:R53" si="35">O18-M18</f>
        <v>42.120000000000005</v>
      </c>
      <c r="R18" s="108">
        <f t="shared" si="35"/>
        <v>1120.08</v>
      </c>
      <c r="S18" s="80">
        <v>251.02</v>
      </c>
      <c r="T18" s="80">
        <v>4733.95</v>
      </c>
      <c r="U18" s="94">
        <v>97.22</v>
      </c>
      <c r="V18" s="94">
        <v>2423.6999999999998</v>
      </c>
      <c r="W18" s="111">
        <v>215</v>
      </c>
      <c r="X18" s="111">
        <v>5500</v>
      </c>
      <c r="Y18" s="112">
        <f t="shared" ref="Y18:Z29" si="36">W18-U18</f>
        <v>117.78</v>
      </c>
      <c r="Z18" s="112">
        <f t="shared" si="36"/>
        <v>3076.3</v>
      </c>
      <c r="AA18" s="78">
        <f t="shared" ref="AA18:AB34" si="37">S18-U18</f>
        <v>153.80000000000001</v>
      </c>
      <c r="AB18" s="78">
        <f t="shared" si="37"/>
        <v>2310.25</v>
      </c>
      <c r="AC18" s="94">
        <v>22.16</v>
      </c>
      <c r="AD18" s="94">
        <v>817.53</v>
      </c>
      <c r="AE18" s="128">
        <v>107.5</v>
      </c>
      <c r="AF18" s="128">
        <v>2750</v>
      </c>
      <c r="AG18" s="112">
        <f t="shared" ref="AG18:AG19" si="38">AE18-AC18</f>
        <v>85.34</v>
      </c>
      <c r="AH18" s="112">
        <f t="shared" ref="AH18:AH19" si="39">AF18-AD18</f>
        <v>1932.47</v>
      </c>
      <c r="AI18" s="94">
        <f t="shared" si="0"/>
        <v>119.38</v>
      </c>
      <c r="AJ18" s="94">
        <f t="shared" si="1"/>
        <v>3241.2299999999996</v>
      </c>
      <c r="AK18" s="128">
        <f t="shared" si="2"/>
        <v>322.5</v>
      </c>
      <c r="AL18" s="128">
        <f t="shared" si="3"/>
        <v>8250</v>
      </c>
      <c r="AM18" s="112">
        <f t="shared" ref="AM18:AM30" si="40">AK18-AI18</f>
        <v>203.12</v>
      </c>
      <c r="AN18" s="112">
        <f t="shared" ref="AN18:AN30" si="41">AL18-AJ18</f>
        <v>5008.7700000000004</v>
      </c>
      <c r="AO18" s="94">
        <v>70.86</v>
      </c>
      <c r="AP18" s="94">
        <v>1840.23</v>
      </c>
      <c r="AQ18" s="128">
        <v>107.5</v>
      </c>
      <c r="AR18" s="128">
        <v>2750</v>
      </c>
      <c r="AS18" s="112">
        <f t="shared" ref="AS18:AS30" si="42">AQ18-AO18</f>
        <v>36.64</v>
      </c>
      <c r="AT18" s="112">
        <f t="shared" ref="AT18:AT30" si="43">AR18-AP18</f>
        <v>909.77</v>
      </c>
      <c r="AU18" s="94">
        <f>AI18+AO18</f>
        <v>190.24</v>
      </c>
      <c r="AV18" s="94">
        <f>AJ18+AP18</f>
        <v>5081.4599999999991</v>
      </c>
      <c r="AW18" s="128">
        <v>430</v>
      </c>
      <c r="AX18" s="128">
        <v>11000</v>
      </c>
      <c r="AY18" s="112">
        <f t="shared" ref="AY18:AY30" si="44">AW18-AU18</f>
        <v>239.76</v>
      </c>
      <c r="AZ18" s="231">
        <f t="shared" ref="AZ18:AZ30" si="45">AX18-AV18</f>
        <v>5918.5400000000009</v>
      </c>
      <c r="BA18" s="216">
        <v>119.91</v>
      </c>
    </row>
    <row r="19" spans="1:53" ht="16.5" thickBot="1" x14ac:dyDescent="0.3">
      <c r="A19" s="327" t="s">
        <v>14</v>
      </c>
      <c r="B19" s="327"/>
      <c r="C19" s="82">
        <v>84</v>
      </c>
      <c r="D19" s="83">
        <v>1900</v>
      </c>
      <c r="E19" s="89">
        <v>87.5</v>
      </c>
      <c r="F19" s="89">
        <v>2250</v>
      </c>
      <c r="G19" s="94">
        <f t="shared" si="32"/>
        <v>3.5</v>
      </c>
      <c r="H19" s="94">
        <f t="shared" si="33"/>
        <v>350</v>
      </c>
      <c r="I19" s="97"/>
      <c r="J19" s="97"/>
      <c r="K19" s="100">
        <f t="shared" si="34"/>
        <v>-84</v>
      </c>
      <c r="L19" s="100">
        <f t="shared" si="34"/>
        <v>-1900</v>
      </c>
      <c r="M19" s="103">
        <v>56</v>
      </c>
      <c r="N19" s="104">
        <v>1396.08</v>
      </c>
      <c r="O19" s="107">
        <v>87.5</v>
      </c>
      <c r="P19" s="107">
        <v>2250</v>
      </c>
      <c r="Q19" s="108">
        <f t="shared" si="35"/>
        <v>31.5</v>
      </c>
      <c r="R19" s="108">
        <f t="shared" si="35"/>
        <v>853.92000000000007</v>
      </c>
      <c r="S19" s="80">
        <v>170.52</v>
      </c>
      <c r="T19" s="80">
        <v>3700.28</v>
      </c>
      <c r="U19" s="94">
        <v>140.30000000000001</v>
      </c>
      <c r="V19" s="94">
        <v>3340.89</v>
      </c>
      <c r="W19" s="111">
        <v>175</v>
      </c>
      <c r="X19" s="111">
        <v>4500</v>
      </c>
      <c r="Y19" s="112">
        <f t="shared" si="36"/>
        <v>34.699999999999989</v>
      </c>
      <c r="Z19" s="112">
        <f t="shared" si="36"/>
        <v>1159.1100000000001</v>
      </c>
      <c r="AA19" s="78">
        <f t="shared" si="37"/>
        <v>30.22</v>
      </c>
      <c r="AB19" s="78">
        <f t="shared" si="37"/>
        <v>359.39000000000033</v>
      </c>
      <c r="AC19" s="94">
        <v>50</v>
      </c>
      <c r="AD19" s="94">
        <v>1153.5</v>
      </c>
      <c r="AE19" s="128">
        <v>87.5</v>
      </c>
      <c r="AF19" s="128">
        <v>2250</v>
      </c>
      <c r="AG19" s="112">
        <f t="shared" si="38"/>
        <v>37.5</v>
      </c>
      <c r="AH19" s="112">
        <f t="shared" si="39"/>
        <v>1096.5</v>
      </c>
      <c r="AI19" s="94">
        <f t="shared" si="0"/>
        <v>190.3</v>
      </c>
      <c r="AJ19" s="94">
        <f t="shared" si="1"/>
        <v>4494.3899999999994</v>
      </c>
      <c r="AK19" s="128">
        <f t="shared" si="2"/>
        <v>262.5</v>
      </c>
      <c r="AL19" s="128">
        <f t="shared" si="3"/>
        <v>6750</v>
      </c>
      <c r="AM19" s="112">
        <f t="shared" si="40"/>
        <v>72.199999999999989</v>
      </c>
      <c r="AN19" s="112">
        <f t="shared" si="41"/>
        <v>2255.6100000000006</v>
      </c>
      <c r="AO19" s="94">
        <v>58</v>
      </c>
      <c r="AP19" s="94">
        <v>1338.06</v>
      </c>
      <c r="AQ19" s="128">
        <v>87.5</v>
      </c>
      <c r="AR19" s="128">
        <v>2250</v>
      </c>
      <c r="AS19" s="112">
        <f t="shared" si="42"/>
        <v>29.5</v>
      </c>
      <c r="AT19" s="112">
        <f t="shared" si="43"/>
        <v>911.94</v>
      </c>
      <c r="AU19" s="94">
        <f>AI19+AO19</f>
        <v>248.3</v>
      </c>
      <c r="AV19" s="94">
        <f>AJ19+AP19</f>
        <v>5832.4499999999989</v>
      </c>
      <c r="AW19" s="128">
        <v>350</v>
      </c>
      <c r="AX19" s="128">
        <v>9000</v>
      </c>
      <c r="AY19" s="112">
        <f t="shared" si="44"/>
        <v>101.69999999999999</v>
      </c>
      <c r="AZ19" s="231">
        <f t="shared" si="45"/>
        <v>3167.5500000000011</v>
      </c>
      <c r="BA19" s="216">
        <v>341.6</v>
      </c>
    </row>
    <row r="20" spans="1:53" s="36" customFormat="1" ht="16.5" thickBot="1" x14ac:dyDescent="0.3">
      <c r="A20" s="326" t="s">
        <v>149</v>
      </c>
      <c r="B20" s="330"/>
      <c r="C20" s="132">
        <f>SUM(C4:C19)</f>
        <v>2364</v>
      </c>
      <c r="D20" s="132">
        <f>SUM(D4:D19)</f>
        <v>65750</v>
      </c>
      <c r="E20" s="132">
        <f>SUM(E4:E19)</f>
        <v>2372.5</v>
      </c>
      <c r="F20" s="132">
        <f>SUM(F4:F19)</f>
        <v>60528</v>
      </c>
      <c r="G20" s="133">
        <f t="shared" si="32"/>
        <v>8.5</v>
      </c>
      <c r="H20" s="133">
        <f t="shared" si="33"/>
        <v>-5222</v>
      </c>
      <c r="I20" s="133">
        <f>SUM(I4:I19)</f>
        <v>2113.08</v>
      </c>
      <c r="J20" s="133">
        <f>SUM(J4:J19)</f>
        <v>50312.359999999986</v>
      </c>
      <c r="K20" s="133">
        <f t="shared" si="34"/>
        <v>-250.92000000000007</v>
      </c>
      <c r="L20" s="133">
        <f t="shared" si="34"/>
        <v>-15437.640000000014</v>
      </c>
      <c r="M20" s="132">
        <f>SUM(M4:M19)</f>
        <v>2350.48</v>
      </c>
      <c r="N20" s="132">
        <f>SUM(N4:N19)</f>
        <v>58657.06</v>
      </c>
      <c r="O20" s="132">
        <f>SUM(O4:O19)</f>
        <v>2372.5</v>
      </c>
      <c r="P20" s="132">
        <f>SUM(P4:P19)</f>
        <v>60528</v>
      </c>
      <c r="Q20" s="133">
        <f t="shared" si="35"/>
        <v>22.019999999999982</v>
      </c>
      <c r="R20" s="133">
        <f t="shared" si="35"/>
        <v>1870.9400000000023</v>
      </c>
      <c r="S20" s="133">
        <v>4590.5200000000004</v>
      </c>
      <c r="T20" s="133">
        <v>110536.7</v>
      </c>
      <c r="U20" s="133">
        <f>SUM(U4:U19)</f>
        <v>4790.8200000000006</v>
      </c>
      <c r="V20" s="133">
        <f>SUM(V4:V19)</f>
        <v>127041.34</v>
      </c>
      <c r="W20" s="132">
        <f>SUM(W4:W19)</f>
        <v>4745</v>
      </c>
      <c r="X20" s="132">
        <f>SUM(X4:X19)</f>
        <v>121056</v>
      </c>
      <c r="Y20" s="133">
        <f t="shared" si="36"/>
        <v>-45.820000000000618</v>
      </c>
      <c r="Z20" s="133">
        <f t="shared" si="36"/>
        <v>-5985.3399999999965</v>
      </c>
      <c r="AA20" s="133">
        <f t="shared" si="37"/>
        <v>-200.30000000000018</v>
      </c>
      <c r="AB20" s="133">
        <f t="shared" si="37"/>
        <v>-16504.64</v>
      </c>
      <c r="AC20" s="133">
        <f>SUM(AC4:AC19)</f>
        <v>1456.66</v>
      </c>
      <c r="AD20" s="133">
        <f>SUM(AD4:AD19)</f>
        <v>37926.49</v>
      </c>
      <c r="AE20" s="132">
        <f>SUM(AE4:AE19)</f>
        <v>2372.5</v>
      </c>
      <c r="AF20" s="132">
        <f>SUM(AF4:AF19)</f>
        <v>60528</v>
      </c>
      <c r="AG20" s="133">
        <f t="shared" ref="AG20:AG30" si="46">AE20-AC20</f>
        <v>915.83999999999992</v>
      </c>
      <c r="AH20" s="133">
        <f t="shared" ref="AH20:AH30" si="47">AF20-AD20</f>
        <v>22601.510000000002</v>
      </c>
      <c r="AI20" s="133">
        <f>SUM(AI4:AI19)</f>
        <v>6247.4800000000005</v>
      </c>
      <c r="AJ20" s="133">
        <f>SUM(AJ4:AJ19)</f>
        <v>164967.83000000002</v>
      </c>
      <c r="AK20" s="132">
        <f>SUM(AK4:AK19)</f>
        <v>7117.5</v>
      </c>
      <c r="AL20" s="132">
        <f>SUM(AL4:AL19)</f>
        <v>181584</v>
      </c>
      <c r="AM20" s="133">
        <f t="shared" si="40"/>
        <v>870.01999999999953</v>
      </c>
      <c r="AN20" s="133">
        <f t="shared" si="41"/>
        <v>16616.169999999984</v>
      </c>
      <c r="AO20" s="133">
        <f>SUM(AO4:AO19)</f>
        <v>2047.06</v>
      </c>
      <c r="AP20" s="133">
        <f>SUM(AP4:AP19)</f>
        <v>52993.95</v>
      </c>
      <c r="AQ20" s="132">
        <f>SUM(AQ4:AQ19)</f>
        <v>2372.5</v>
      </c>
      <c r="AR20" s="132">
        <f>SUM(AR4:AR19)</f>
        <v>60528</v>
      </c>
      <c r="AS20" s="133">
        <f t="shared" si="42"/>
        <v>325.44000000000005</v>
      </c>
      <c r="AT20" s="133">
        <f t="shared" si="43"/>
        <v>7534.0500000000029</v>
      </c>
      <c r="AU20" s="133">
        <f>SUM(AU4:AU19)</f>
        <v>7732.54</v>
      </c>
      <c r="AV20" s="133">
        <f>SUM(AV4:AV19)</f>
        <v>208616.91</v>
      </c>
      <c r="AW20" s="132">
        <f>SUM(AW4:AW19)</f>
        <v>9490</v>
      </c>
      <c r="AX20" s="132">
        <f>SUM(AX4:AX19)</f>
        <v>242100</v>
      </c>
      <c r="AY20" s="133">
        <f t="shared" si="44"/>
        <v>1757.46</v>
      </c>
      <c r="AZ20" s="232">
        <f t="shared" si="45"/>
        <v>33483.089999999997</v>
      </c>
      <c r="BA20" s="217">
        <v>9399.31</v>
      </c>
    </row>
    <row r="21" spans="1:53" ht="16.5" thickBot="1" x14ac:dyDescent="0.3">
      <c r="A21" s="327" t="s">
        <v>150</v>
      </c>
      <c r="B21" s="328"/>
      <c r="C21" s="82">
        <v>4</v>
      </c>
      <c r="D21" s="83">
        <v>99.73</v>
      </c>
      <c r="E21" s="90">
        <v>8.5749999999999993</v>
      </c>
      <c r="F21" s="90">
        <v>220</v>
      </c>
      <c r="G21" s="94">
        <f t="shared" si="32"/>
        <v>4.5749999999999993</v>
      </c>
      <c r="H21" s="94">
        <f t="shared" si="33"/>
        <v>120.27</v>
      </c>
      <c r="I21" s="97">
        <v>7.5</v>
      </c>
      <c r="J21" s="97">
        <v>179.85</v>
      </c>
      <c r="K21" s="100">
        <f t="shared" si="34"/>
        <v>3.5</v>
      </c>
      <c r="L21" s="100">
        <f t="shared" si="34"/>
        <v>80.11999999999999</v>
      </c>
      <c r="M21" s="103">
        <v>3.5</v>
      </c>
      <c r="N21" s="104">
        <v>87.26</v>
      </c>
      <c r="O21" s="92">
        <v>8.5749999999999993</v>
      </c>
      <c r="P21" s="92">
        <v>220</v>
      </c>
      <c r="Q21" s="108">
        <f t="shared" si="35"/>
        <v>5.0749999999999993</v>
      </c>
      <c r="R21" s="108">
        <f t="shared" si="35"/>
        <v>132.74</v>
      </c>
      <c r="S21" s="80">
        <v>25.1</v>
      </c>
      <c r="T21" s="80">
        <v>602.21</v>
      </c>
      <c r="U21" s="94">
        <v>8</v>
      </c>
      <c r="V21" s="94">
        <v>199.46</v>
      </c>
      <c r="W21" s="101">
        <v>17.149999999999999</v>
      </c>
      <c r="X21" s="101">
        <v>440</v>
      </c>
      <c r="Y21" s="112">
        <f t="shared" si="36"/>
        <v>9.1499999999999986</v>
      </c>
      <c r="Z21" s="112">
        <f t="shared" si="36"/>
        <v>240.54</v>
      </c>
      <c r="AA21" s="78">
        <f t="shared" si="37"/>
        <v>17.100000000000001</v>
      </c>
      <c r="AB21" s="78">
        <f t="shared" si="37"/>
        <v>402.75</v>
      </c>
      <c r="AC21" s="94">
        <v>4.5</v>
      </c>
      <c r="AD21" s="94">
        <v>116.87</v>
      </c>
      <c r="AE21" s="129">
        <v>8.5749999999999993</v>
      </c>
      <c r="AF21" s="129">
        <v>220</v>
      </c>
      <c r="AG21" s="112">
        <f t="shared" si="46"/>
        <v>4.0749999999999993</v>
      </c>
      <c r="AH21" s="112">
        <f t="shared" si="47"/>
        <v>103.13</v>
      </c>
      <c r="AI21" s="94">
        <f t="shared" ref="AI21:AI30" si="48">U21+AC21</f>
        <v>12.5</v>
      </c>
      <c r="AJ21" s="94">
        <f t="shared" ref="AJ21:AJ30" si="49">V21+AD21</f>
        <v>316.33000000000004</v>
      </c>
      <c r="AK21" s="128">
        <f t="shared" ref="AK21:AK30" si="50">W21+AE21</f>
        <v>25.724999999999998</v>
      </c>
      <c r="AL21" s="128">
        <f t="shared" ref="AL21:AL30" si="51">X21+AF21</f>
        <v>660</v>
      </c>
      <c r="AM21" s="112">
        <f t="shared" si="40"/>
        <v>13.224999999999998</v>
      </c>
      <c r="AN21" s="112">
        <f t="shared" si="41"/>
        <v>343.66999999999996</v>
      </c>
      <c r="AO21" s="94">
        <v>6</v>
      </c>
      <c r="AP21" s="94">
        <v>155.83000000000001</v>
      </c>
      <c r="AQ21" s="129">
        <v>8.5749999999999993</v>
      </c>
      <c r="AR21" s="129">
        <v>220</v>
      </c>
      <c r="AS21" s="112">
        <f t="shared" si="42"/>
        <v>2.5749999999999993</v>
      </c>
      <c r="AT21" s="112">
        <f t="shared" si="43"/>
        <v>64.169999999999987</v>
      </c>
      <c r="AU21" s="94">
        <f t="shared" ref="AU21:AU30" si="52">AI21+AO21</f>
        <v>18.5</v>
      </c>
      <c r="AV21" s="94">
        <f t="shared" ref="AV21:AV30" si="53">AJ21+AP21</f>
        <v>472.16000000000008</v>
      </c>
      <c r="AW21" s="128">
        <v>34.299999999999997</v>
      </c>
      <c r="AX21" s="128">
        <v>880</v>
      </c>
      <c r="AY21" s="112">
        <f t="shared" si="44"/>
        <v>15.799999999999997</v>
      </c>
      <c r="AZ21" s="231">
        <f t="shared" si="45"/>
        <v>407.83999999999992</v>
      </c>
      <c r="BA21" s="216">
        <v>36.6</v>
      </c>
    </row>
    <row r="22" spans="1:53" ht="16.5" thickBot="1" x14ac:dyDescent="0.3">
      <c r="A22" s="327" t="s">
        <v>175</v>
      </c>
      <c r="B22" s="328"/>
      <c r="C22" s="82">
        <v>2</v>
      </c>
      <c r="D22" s="83">
        <v>49.86</v>
      </c>
      <c r="E22" s="90">
        <v>7.0750000000000002</v>
      </c>
      <c r="F22" s="90">
        <v>175</v>
      </c>
      <c r="G22" s="94">
        <f t="shared" si="32"/>
        <v>5.0750000000000002</v>
      </c>
      <c r="H22" s="94">
        <f t="shared" si="33"/>
        <v>125.14</v>
      </c>
      <c r="I22" s="97">
        <v>2</v>
      </c>
      <c r="J22" s="97">
        <v>47.96</v>
      </c>
      <c r="K22" s="100">
        <f t="shared" si="34"/>
        <v>0</v>
      </c>
      <c r="L22" s="100">
        <f t="shared" si="34"/>
        <v>-1.8999999999999986</v>
      </c>
      <c r="M22" s="103">
        <v>2</v>
      </c>
      <c r="N22" s="104">
        <v>49.86</v>
      </c>
      <c r="O22" s="92">
        <v>7.0750000000000002</v>
      </c>
      <c r="P22" s="92">
        <v>175</v>
      </c>
      <c r="Q22" s="108">
        <f t="shared" si="35"/>
        <v>5.0750000000000002</v>
      </c>
      <c r="R22" s="108">
        <f t="shared" si="35"/>
        <v>125.14</v>
      </c>
      <c r="S22" s="80">
        <v>15.2</v>
      </c>
      <c r="T22" s="80">
        <v>364.73</v>
      </c>
      <c r="U22" s="94">
        <v>4</v>
      </c>
      <c r="V22" s="94">
        <v>99.72</v>
      </c>
      <c r="W22" s="101">
        <v>14.15</v>
      </c>
      <c r="X22" s="101">
        <v>350</v>
      </c>
      <c r="Y22" s="112">
        <f t="shared" si="36"/>
        <v>10.15</v>
      </c>
      <c r="Z22" s="112">
        <f t="shared" si="36"/>
        <v>250.28</v>
      </c>
      <c r="AA22" s="78">
        <f t="shared" si="37"/>
        <v>11.2</v>
      </c>
      <c r="AB22" s="78">
        <f t="shared" si="37"/>
        <v>265.01</v>
      </c>
      <c r="AC22" s="94">
        <v>3</v>
      </c>
      <c r="AD22" s="94">
        <v>77.91</v>
      </c>
      <c r="AE22" s="129">
        <v>7.0750000000000002</v>
      </c>
      <c r="AF22" s="129">
        <v>175</v>
      </c>
      <c r="AG22" s="112">
        <f t="shared" si="46"/>
        <v>4.0750000000000002</v>
      </c>
      <c r="AH22" s="112">
        <f t="shared" si="47"/>
        <v>97.09</v>
      </c>
      <c r="AI22" s="94">
        <f t="shared" si="48"/>
        <v>7</v>
      </c>
      <c r="AJ22" s="94">
        <f t="shared" si="49"/>
        <v>177.63</v>
      </c>
      <c r="AK22" s="128">
        <f t="shared" si="50"/>
        <v>21.225000000000001</v>
      </c>
      <c r="AL22" s="128">
        <f t="shared" si="51"/>
        <v>525</v>
      </c>
      <c r="AM22" s="112">
        <f t="shared" si="40"/>
        <v>14.225000000000001</v>
      </c>
      <c r="AN22" s="112">
        <f t="shared" si="41"/>
        <v>347.37</v>
      </c>
      <c r="AO22" s="94">
        <v>2</v>
      </c>
      <c r="AP22" s="94">
        <v>51.94</v>
      </c>
      <c r="AQ22" s="129">
        <v>7.0750000000000002</v>
      </c>
      <c r="AR22" s="129">
        <v>175</v>
      </c>
      <c r="AS22" s="112">
        <f t="shared" si="42"/>
        <v>5.0750000000000002</v>
      </c>
      <c r="AT22" s="112">
        <f t="shared" si="43"/>
        <v>123.06</v>
      </c>
      <c r="AU22" s="94">
        <f t="shared" si="52"/>
        <v>9</v>
      </c>
      <c r="AV22" s="94">
        <f t="shared" si="53"/>
        <v>229.57</v>
      </c>
      <c r="AW22" s="128">
        <v>28.3</v>
      </c>
      <c r="AX22" s="128">
        <v>700</v>
      </c>
      <c r="AY22" s="112">
        <f t="shared" si="44"/>
        <v>19.3</v>
      </c>
      <c r="AZ22" s="231">
        <f t="shared" si="45"/>
        <v>470.43</v>
      </c>
      <c r="BA22" s="216">
        <v>21.2</v>
      </c>
    </row>
    <row r="23" spans="1:53" ht="16.5" thickBot="1" x14ac:dyDescent="0.3">
      <c r="A23" s="327" t="s">
        <v>151</v>
      </c>
      <c r="B23" s="328"/>
      <c r="C23" s="82">
        <v>4</v>
      </c>
      <c r="D23" s="83">
        <v>99.72</v>
      </c>
      <c r="E23" s="90">
        <v>7.0750000000000002</v>
      </c>
      <c r="F23" s="90">
        <v>175</v>
      </c>
      <c r="G23" s="94">
        <f t="shared" si="32"/>
        <v>3.0750000000000002</v>
      </c>
      <c r="H23" s="94">
        <f t="shared" si="33"/>
        <v>75.28</v>
      </c>
      <c r="I23" s="97">
        <v>7.05</v>
      </c>
      <c r="J23" s="97">
        <v>169.05</v>
      </c>
      <c r="K23" s="100">
        <f t="shared" si="34"/>
        <v>3.05</v>
      </c>
      <c r="L23" s="100">
        <f t="shared" si="34"/>
        <v>69.330000000000013</v>
      </c>
      <c r="M23" s="103"/>
      <c r="N23" s="104"/>
      <c r="O23" s="92">
        <v>7.0750000000000002</v>
      </c>
      <c r="P23" s="92">
        <v>175</v>
      </c>
      <c r="Q23" s="108">
        <f t="shared" si="35"/>
        <v>7.0750000000000002</v>
      </c>
      <c r="R23" s="108">
        <f t="shared" si="35"/>
        <v>175</v>
      </c>
      <c r="S23" s="80">
        <v>14.1</v>
      </c>
      <c r="T23" s="80">
        <v>338.1</v>
      </c>
      <c r="U23" s="94">
        <v>8</v>
      </c>
      <c r="V23" s="94">
        <v>199.44</v>
      </c>
      <c r="W23" s="101">
        <v>14.15</v>
      </c>
      <c r="X23" s="101">
        <v>350</v>
      </c>
      <c r="Y23" s="112">
        <f t="shared" si="36"/>
        <v>6.15</v>
      </c>
      <c r="Z23" s="112">
        <f t="shared" si="36"/>
        <v>150.56</v>
      </c>
      <c r="AA23" s="78">
        <f t="shared" si="37"/>
        <v>6.1</v>
      </c>
      <c r="AB23" s="78">
        <f t="shared" si="37"/>
        <v>138.66000000000003</v>
      </c>
      <c r="AC23" s="94">
        <v>2</v>
      </c>
      <c r="AD23" s="94">
        <v>51.94</v>
      </c>
      <c r="AE23" s="129">
        <v>7.0750000000000002</v>
      </c>
      <c r="AF23" s="129">
        <v>175</v>
      </c>
      <c r="AG23" s="112">
        <f t="shared" si="46"/>
        <v>5.0750000000000002</v>
      </c>
      <c r="AH23" s="112">
        <f t="shared" si="47"/>
        <v>123.06</v>
      </c>
      <c r="AI23" s="94">
        <f t="shared" si="48"/>
        <v>10</v>
      </c>
      <c r="AJ23" s="94">
        <f t="shared" si="49"/>
        <v>251.38</v>
      </c>
      <c r="AK23" s="128">
        <f t="shared" si="50"/>
        <v>21.225000000000001</v>
      </c>
      <c r="AL23" s="128">
        <f t="shared" si="51"/>
        <v>525</v>
      </c>
      <c r="AM23" s="112">
        <f t="shared" si="40"/>
        <v>11.225000000000001</v>
      </c>
      <c r="AN23" s="112">
        <f t="shared" si="41"/>
        <v>273.62</v>
      </c>
      <c r="AO23" s="94"/>
      <c r="AP23" s="94"/>
      <c r="AQ23" s="129">
        <v>7.0750000000000002</v>
      </c>
      <c r="AR23" s="129">
        <v>175</v>
      </c>
      <c r="AS23" s="112">
        <f t="shared" si="42"/>
        <v>7.0750000000000002</v>
      </c>
      <c r="AT23" s="112">
        <f t="shared" si="43"/>
        <v>175</v>
      </c>
      <c r="AU23" s="94">
        <f t="shared" si="52"/>
        <v>10</v>
      </c>
      <c r="AV23" s="94">
        <f t="shared" si="53"/>
        <v>251.38</v>
      </c>
      <c r="AW23" s="128">
        <v>28.3</v>
      </c>
      <c r="AX23" s="128">
        <v>700</v>
      </c>
      <c r="AY23" s="112">
        <f t="shared" si="44"/>
        <v>18.3</v>
      </c>
      <c r="AZ23" s="231">
        <f t="shared" si="45"/>
        <v>448.62</v>
      </c>
      <c r="BA23" s="216">
        <v>28.3</v>
      </c>
    </row>
    <row r="24" spans="1:53" ht="16.5" thickBot="1" x14ac:dyDescent="0.3">
      <c r="A24" s="327" t="s">
        <v>152</v>
      </c>
      <c r="B24" s="328"/>
      <c r="C24" s="82">
        <v>7.05</v>
      </c>
      <c r="D24" s="83">
        <v>175.77</v>
      </c>
      <c r="E24" s="90">
        <v>7.0750000000000002</v>
      </c>
      <c r="F24" s="90">
        <v>175</v>
      </c>
      <c r="G24" s="94">
        <f t="shared" si="32"/>
        <v>2.5000000000000355E-2</v>
      </c>
      <c r="H24" s="94">
        <f t="shared" si="33"/>
        <v>-0.77000000000001023</v>
      </c>
      <c r="I24" s="97">
        <v>7.05</v>
      </c>
      <c r="J24" s="97">
        <v>169.05</v>
      </c>
      <c r="K24" s="100">
        <f t="shared" si="34"/>
        <v>0</v>
      </c>
      <c r="L24" s="100">
        <f t="shared" si="34"/>
        <v>-6.7199999999999989</v>
      </c>
      <c r="M24" s="103">
        <v>11</v>
      </c>
      <c r="N24" s="104">
        <v>274.23</v>
      </c>
      <c r="O24" s="92">
        <v>7.0750000000000002</v>
      </c>
      <c r="P24" s="92">
        <v>175</v>
      </c>
      <c r="Q24" s="108">
        <f t="shared" si="35"/>
        <v>-3.9249999999999998</v>
      </c>
      <c r="R24" s="108">
        <f t="shared" si="35"/>
        <v>-99.230000000000018</v>
      </c>
      <c r="S24" s="80">
        <v>14.1</v>
      </c>
      <c r="T24" s="80">
        <v>338.1</v>
      </c>
      <c r="U24" s="94">
        <v>14.1</v>
      </c>
      <c r="V24" s="94">
        <v>351.54</v>
      </c>
      <c r="W24" s="101">
        <v>14.15</v>
      </c>
      <c r="X24" s="101">
        <v>350</v>
      </c>
      <c r="Y24" s="112">
        <f t="shared" si="36"/>
        <v>5.0000000000000711E-2</v>
      </c>
      <c r="Z24" s="112">
        <f t="shared" si="36"/>
        <v>-1.5400000000000205</v>
      </c>
      <c r="AA24" s="78">
        <f t="shared" si="37"/>
        <v>0</v>
      </c>
      <c r="AB24" s="78">
        <f t="shared" si="37"/>
        <v>-13.439999999999998</v>
      </c>
      <c r="AC24" s="94">
        <v>6</v>
      </c>
      <c r="AD24" s="94">
        <v>155.82</v>
      </c>
      <c r="AE24" s="129">
        <v>7.0750000000000002</v>
      </c>
      <c r="AF24" s="129">
        <v>175</v>
      </c>
      <c r="AG24" s="112">
        <f t="shared" si="46"/>
        <v>1.0750000000000002</v>
      </c>
      <c r="AH24" s="112">
        <f t="shared" si="47"/>
        <v>19.180000000000007</v>
      </c>
      <c r="AI24" s="94">
        <f t="shared" si="48"/>
        <v>20.100000000000001</v>
      </c>
      <c r="AJ24" s="94">
        <f t="shared" si="49"/>
        <v>507.36</v>
      </c>
      <c r="AK24" s="128">
        <f t="shared" si="50"/>
        <v>21.225000000000001</v>
      </c>
      <c r="AL24" s="128">
        <f t="shared" si="51"/>
        <v>525</v>
      </c>
      <c r="AM24" s="112">
        <f t="shared" si="40"/>
        <v>1.125</v>
      </c>
      <c r="AN24" s="112">
        <f t="shared" si="41"/>
        <v>17.639999999999986</v>
      </c>
      <c r="AO24" s="94">
        <v>10.5</v>
      </c>
      <c r="AP24" s="94">
        <v>272.69</v>
      </c>
      <c r="AQ24" s="129">
        <v>7.0750000000000002</v>
      </c>
      <c r="AR24" s="129">
        <v>175</v>
      </c>
      <c r="AS24" s="112">
        <f t="shared" si="42"/>
        <v>-3.4249999999999998</v>
      </c>
      <c r="AT24" s="112">
        <f t="shared" si="43"/>
        <v>-97.69</v>
      </c>
      <c r="AU24" s="94">
        <f t="shared" si="52"/>
        <v>30.6</v>
      </c>
      <c r="AV24" s="94">
        <f t="shared" si="53"/>
        <v>780.05</v>
      </c>
      <c r="AW24" s="128">
        <v>28.3</v>
      </c>
      <c r="AX24" s="128">
        <v>700</v>
      </c>
      <c r="AY24" s="112">
        <f t="shared" si="44"/>
        <v>-2.3000000000000007</v>
      </c>
      <c r="AZ24" s="231">
        <f t="shared" si="45"/>
        <v>-80.049999999999955</v>
      </c>
      <c r="BA24" s="216">
        <v>28.3</v>
      </c>
    </row>
    <row r="25" spans="1:53" ht="16.5" thickBot="1" x14ac:dyDescent="0.3">
      <c r="A25" s="327" t="s">
        <v>153</v>
      </c>
      <c r="B25" s="328"/>
      <c r="C25" s="82">
        <v>7.35</v>
      </c>
      <c r="D25" s="83">
        <v>169.56</v>
      </c>
      <c r="E25" s="90">
        <v>7.0750000000000002</v>
      </c>
      <c r="F25" s="90">
        <v>175</v>
      </c>
      <c r="G25" s="94">
        <f t="shared" si="32"/>
        <v>-0.27499999999999947</v>
      </c>
      <c r="H25" s="94">
        <f t="shared" si="33"/>
        <v>5.4399999999999977</v>
      </c>
      <c r="I25" s="97"/>
      <c r="J25" s="97"/>
      <c r="K25" s="100"/>
      <c r="L25" s="100"/>
      <c r="M25" s="103">
        <v>21.25</v>
      </c>
      <c r="N25" s="104">
        <v>529.77</v>
      </c>
      <c r="O25" s="92">
        <v>7.0750000000000002</v>
      </c>
      <c r="P25" s="92">
        <v>175</v>
      </c>
      <c r="Q25" s="108">
        <f t="shared" si="35"/>
        <v>-14.175000000000001</v>
      </c>
      <c r="R25" s="108">
        <f t="shared" si="35"/>
        <v>-354.77</v>
      </c>
      <c r="S25" s="80">
        <v>2.37</v>
      </c>
      <c r="T25" s="80">
        <v>51.43</v>
      </c>
      <c r="U25" s="94">
        <v>14.7</v>
      </c>
      <c r="V25" s="94">
        <v>339.12</v>
      </c>
      <c r="W25" s="101">
        <v>14.15</v>
      </c>
      <c r="X25" s="101">
        <v>350</v>
      </c>
      <c r="Y25" s="112">
        <f t="shared" si="36"/>
        <v>-0.54999999999999893</v>
      </c>
      <c r="Z25" s="112">
        <f t="shared" si="36"/>
        <v>10.879999999999995</v>
      </c>
      <c r="AA25" s="78">
        <f t="shared" si="37"/>
        <v>-12.329999999999998</v>
      </c>
      <c r="AB25" s="78">
        <f t="shared" si="37"/>
        <v>-287.69</v>
      </c>
      <c r="AC25" s="94">
        <v>3</v>
      </c>
      <c r="AD25" s="94">
        <v>69.209999999999994</v>
      </c>
      <c r="AE25" s="129">
        <v>7.0750000000000002</v>
      </c>
      <c r="AF25" s="129">
        <v>175</v>
      </c>
      <c r="AG25" s="112">
        <f t="shared" si="46"/>
        <v>4.0750000000000002</v>
      </c>
      <c r="AH25" s="112">
        <f t="shared" si="47"/>
        <v>105.79</v>
      </c>
      <c r="AI25" s="94">
        <f t="shared" si="48"/>
        <v>17.7</v>
      </c>
      <c r="AJ25" s="94">
        <f t="shared" si="49"/>
        <v>408.33</v>
      </c>
      <c r="AK25" s="128">
        <f t="shared" si="50"/>
        <v>21.225000000000001</v>
      </c>
      <c r="AL25" s="128">
        <f t="shared" si="51"/>
        <v>525</v>
      </c>
      <c r="AM25" s="112">
        <f t="shared" si="40"/>
        <v>3.5250000000000021</v>
      </c>
      <c r="AN25" s="112">
        <f t="shared" si="41"/>
        <v>116.67000000000002</v>
      </c>
      <c r="AO25" s="94">
        <v>1</v>
      </c>
      <c r="AP25" s="94">
        <v>23.07</v>
      </c>
      <c r="AQ25" s="129">
        <v>7.0750000000000002</v>
      </c>
      <c r="AR25" s="129">
        <v>175</v>
      </c>
      <c r="AS25" s="112">
        <f t="shared" si="42"/>
        <v>6.0750000000000002</v>
      </c>
      <c r="AT25" s="112">
        <f t="shared" si="43"/>
        <v>151.93</v>
      </c>
      <c r="AU25" s="94">
        <f t="shared" si="52"/>
        <v>18.7</v>
      </c>
      <c r="AV25" s="94">
        <f t="shared" si="53"/>
        <v>431.4</v>
      </c>
      <c r="AW25" s="128">
        <v>28.3</v>
      </c>
      <c r="AX25" s="128">
        <v>700</v>
      </c>
      <c r="AY25" s="112">
        <f t="shared" si="44"/>
        <v>9.6000000000000014</v>
      </c>
      <c r="AZ25" s="231">
        <f t="shared" si="45"/>
        <v>268.60000000000002</v>
      </c>
      <c r="BA25" s="216">
        <v>18.48</v>
      </c>
    </row>
    <row r="26" spans="1:53" ht="16.5" thickBot="1" x14ac:dyDescent="0.3">
      <c r="A26" s="327" t="s">
        <v>154</v>
      </c>
      <c r="B26" s="328"/>
      <c r="C26" s="82"/>
      <c r="D26" s="83"/>
      <c r="E26" s="90">
        <v>7.0750000000000002</v>
      </c>
      <c r="F26" s="90">
        <v>175</v>
      </c>
      <c r="G26" s="94">
        <f t="shared" si="32"/>
        <v>7.0750000000000002</v>
      </c>
      <c r="H26" s="94">
        <f t="shared" si="33"/>
        <v>175</v>
      </c>
      <c r="I26" s="97">
        <v>1.5</v>
      </c>
      <c r="J26" s="97">
        <v>35.97</v>
      </c>
      <c r="K26" s="100">
        <f t="shared" ref="K26:K46" si="54">I26-C26</f>
        <v>1.5</v>
      </c>
      <c r="L26" s="100">
        <f t="shared" ref="L26:L46" si="55">J26-D26</f>
        <v>35.97</v>
      </c>
      <c r="M26" s="103"/>
      <c r="N26" s="104"/>
      <c r="O26" s="92">
        <v>7.0750000000000002</v>
      </c>
      <c r="P26" s="92">
        <v>175</v>
      </c>
      <c r="Q26" s="108">
        <f t="shared" si="35"/>
        <v>7.0750000000000002</v>
      </c>
      <c r="R26" s="108">
        <f t="shared" si="35"/>
        <v>175</v>
      </c>
      <c r="S26" s="80">
        <v>3</v>
      </c>
      <c r="T26" s="80">
        <v>71.94</v>
      </c>
      <c r="U26" s="94"/>
      <c r="V26" s="94"/>
      <c r="W26" s="101">
        <v>14.15</v>
      </c>
      <c r="X26" s="101">
        <v>350</v>
      </c>
      <c r="Y26" s="112">
        <f t="shared" si="36"/>
        <v>14.15</v>
      </c>
      <c r="Z26" s="112">
        <f t="shared" si="36"/>
        <v>350</v>
      </c>
      <c r="AA26" s="78">
        <f t="shared" si="37"/>
        <v>3</v>
      </c>
      <c r="AB26" s="78">
        <f t="shared" si="37"/>
        <v>71.94</v>
      </c>
      <c r="AC26" s="94">
        <v>1.75</v>
      </c>
      <c r="AD26" s="94">
        <v>45.45</v>
      </c>
      <c r="AE26" s="129">
        <v>7.0750000000000002</v>
      </c>
      <c r="AF26" s="129">
        <v>175</v>
      </c>
      <c r="AG26" s="112">
        <f t="shared" si="46"/>
        <v>5.3250000000000002</v>
      </c>
      <c r="AH26" s="112">
        <f t="shared" si="47"/>
        <v>129.55000000000001</v>
      </c>
      <c r="AI26" s="94">
        <f t="shared" si="48"/>
        <v>1.75</v>
      </c>
      <c r="AJ26" s="94">
        <f t="shared" si="49"/>
        <v>45.45</v>
      </c>
      <c r="AK26" s="128">
        <f t="shared" si="50"/>
        <v>21.225000000000001</v>
      </c>
      <c r="AL26" s="128">
        <f t="shared" si="51"/>
        <v>525</v>
      </c>
      <c r="AM26" s="112">
        <f t="shared" si="40"/>
        <v>19.475000000000001</v>
      </c>
      <c r="AN26" s="112">
        <f t="shared" si="41"/>
        <v>479.55</v>
      </c>
      <c r="AO26" s="94">
        <v>1.25</v>
      </c>
      <c r="AP26" s="94">
        <v>32.46</v>
      </c>
      <c r="AQ26" s="129">
        <v>7.0750000000000002</v>
      </c>
      <c r="AR26" s="129">
        <v>175</v>
      </c>
      <c r="AS26" s="112">
        <f t="shared" si="42"/>
        <v>5.8250000000000002</v>
      </c>
      <c r="AT26" s="112">
        <f t="shared" si="43"/>
        <v>142.54</v>
      </c>
      <c r="AU26" s="94">
        <f t="shared" si="52"/>
        <v>3</v>
      </c>
      <c r="AV26" s="94">
        <f t="shared" si="53"/>
        <v>77.91</v>
      </c>
      <c r="AW26" s="128">
        <v>28.3</v>
      </c>
      <c r="AX26" s="128">
        <v>700</v>
      </c>
      <c r="AY26" s="112">
        <f t="shared" si="44"/>
        <v>25.3</v>
      </c>
      <c r="AZ26" s="231">
        <f t="shared" si="45"/>
        <v>622.09</v>
      </c>
      <c r="BA26" s="216">
        <v>5</v>
      </c>
    </row>
    <row r="27" spans="1:53" ht="16.5" thickBot="1" x14ac:dyDescent="0.3">
      <c r="A27" s="327" t="s">
        <v>155</v>
      </c>
      <c r="B27" s="328"/>
      <c r="C27" s="82">
        <v>7.05</v>
      </c>
      <c r="D27" s="83">
        <v>175.77</v>
      </c>
      <c r="E27" s="90">
        <v>7.0750000000000002</v>
      </c>
      <c r="F27" s="90">
        <v>175</v>
      </c>
      <c r="G27" s="94">
        <f t="shared" si="32"/>
        <v>2.5000000000000355E-2</v>
      </c>
      <c r="H27" s="94">
        <f t="shared" si="33"/>
        <v>-0.77000000000001023</v>
      </c>
      <c r="I27" s="97">
        <v>7.05</v>
      </c>
      <c r="J27" s="97">
        <v>35.97</v>
      </c>
      <c r="K27" s="100">
        <f t="shared" si="54"/>
        <v>0</v>
      </c>
      <c r="L27" s="100">
        <f t="shared" si="55"/>
        <v>-139.80000000000001</v>
      </c>
      <c r="M27" s="103">
        <v>7.05</v>
      </c>
      <c r="N27" s="104">
        <v>175.77</v>
      </c>
      <c r="O27" s="92">
        <v>7.0750000000000002</v>
      </c>
      <c r="P27" s="92">
        <v>175</v>
      </c>
      <c r="Q27" s="108">
        <f t="shared" si="35"/>
        <v>2.5000000000000355E-2</v>
      </c>
      <c r="R27" s="108">
        <f t="shared" si="35"/>
        <v>-0.77000000000001023</v>
      </c>
      <c r="S27" s="80">
        <v>14.1</v>
      </c>
      <c r="T27" s="80">
        <v>71.94</v>
      </c>
      <c r="U27" s="94">
        <v>14.1</v>
      </c>
      <c r="V27" s="94">
        <v>351.54</v>
      </c>
      <c r="W27" s="101">
        <v>14.15</v>
      </c>
      <c r="X27" s="101">
        <v>350</v>
      </c>
      <c r="Y27" s="112">
        <f t="shared" si="36"/>
        <v>5.0000000000000711E-2</v>
      </c>
      <c r="Z27" s="112">
        <f t="shared" si="36"/>
        <v>-1.5400000000000205</v>
      </c>
      <c r="AA27" s="78">
        <f t="shared" si="37"/>
        <v>0</v>
      </c>
      <c r="AB27" s="78">
        <f t="shared" si="37"/>
        <v>-279.60000000000002</v>
      </c>
      <c r="AC27" s="94">
        <v>7.05</v>
      </c>
      <c r="AD27" s="94">
        <v>183.09</v>
      </c>
      <c r="AE27" s="129">
        <v>7.0750000000000002</v>
      </c>
      <c r="AF27" s="129">
        <v>175</v>
      </c>
      <c r="AG27" s="112">
        <f t="shared" si="46"/>
        <v>2.5000000000000355E-2</v>
      </c>
      <c r="AH27" s="112">
        <f t="shared" si="47"/>
        <v>-8.0900000000000034</v>
      </c>
      <c r="AI27" s="94">
        <f t="shared" si="48"/>
        <v>21.15</v>
      </c>
      <c r="AJ27" s="94">
        <f t="shared" si="49"/>
        <v>534.63</v>
      </c>
      <c r="AK27" s="128">
        <f t="shared" si="50"/>
        <v>21.225000000000001</v>
      </c>
      <c r="AL27" s="128">
        <f t="shared" si="51"/>
        <v>525</v>
      </c>
      <c r="AM27" s="112">
        <f t="shared" si="40"/>
        <v>7.5000000000002842E-2</v>
      </c>
      <c r="AN27" s="112">
        <f t="shared" si="41"/>
        <v>-9.6299999999999955</v>
      </c>
      <c r="AO27" s="94"/>
      <c r="AP27" s="94"/>
      <c r="AQ27" s="129">
        <v>7.0750000000000002</v>
      </c>
      <c r="AR27" s="129">
        <v>175</v>
      </c>
      <c r="AS27" s="112">
        <f t="shared" si="42"/>
        <v>7.0750000000000002</v>
      </c>
      <c r="AT27" s="112">
        <f t="shared" si="43"/>
        <v>175</v>
      </c>
      <c r="AU27" s="94">
        <f t="shared" si="52"/>
        <v>21.15</v>
      </c>
      <c r="AV27" s="94">
        <f t="shared" si="53"/>
        <v>534.63</v>
      </c>
      <c r="AW27" s="128">
        <v>28.3</v>
      </c>
      <c r="AX27" s="128">
        <v>700</v>
      </c>
      <c r="AY27" s="112">
        <f t="shared" si="44"/>
        <v>7.1500000000000021</v>
      </c>
      <c r="AZ27" s="231">
        <f t="shared" si="45"/>
        <v>165.37</v>
      </c>
      <c r="BA27" s="216">
        <v>28.3</v>
      </c>
    </row>
    <row r="28" spans="1:53" ht="16.5" thickBot="1" x14ac:dyDescent="0.3">
      <c r="A28" s="327" t="s">
        <v>93</v>
      </c>
      <c r="B28" s="327"/>
      <c r="C28" s="82">
        <v>29.47</v>
      </c>
      <c r="D28" s="83">
        <f>634.97+99.72</f>
        <v>734.69</v>
      </c>
      <c r="E28" s="90">
        <v>125</v>
      </c>
      <c r="F28" s="90">
        <v>3175</v>
      </c>
      <c r="G28" s="95">
        <f t="shared" si="32"/>
        <v>95.53</v>
      </c>
      <c r="H28" s="95">
        <f t="shared" si="33"/>
        <v>2440.31</v>
      </c>
      <c r="I28" s="98">
        <v>93.81</v>
      </c>
      <c r="J28" s="98">
        <v>5510</v>
      </c>
      <c r="K28" s="101">
        <f t="shared" si="54"/>
        <v>64.34</v>
      </c>
      <c r="L28" s="101">
        <f t="shared" si="55"/>
        <v>4775.3099999999995</v>
      </c>
      <c r="M28" s="103">
        <v>72.8</v>
      </c>
      <c r="N28" s="104">
        <v>1814.9</v>
      </c>
      <c r="O28" s="92">
        <v>125</v>
      </c>
      <c r="P28" s="92">
        <v>3175</v>
      </c>
      <c r="Q28" s="87">
        <f t="shared" si="35"/>
        <v>52.2</v>
      </c>
      <c r="R28" s="87">
        <f t="shared" si="35"/>
        <v>1360.1</v>
      </c>
      <c r="S28" s="110">
        <v>160.61000000000001</v>
      </c>
      <c r="T28" s="110">
        <v>8819</v>
      </c>
      <c r="U28" s="95">
        <f>98.27+9</f>
        <v>107.27</v>
      </c>
      <c r="V28" s="95">
        <f>2449.87+221.37</f>
        <v>2671.24</v>
      </c>
      <c r="W28" s="101">
        <v>250</v>
      </c>
      <c r="X28" s="101">
        <v>6350</v>
      </c>
      <c r="Y28" s="113">
        <f t="shared" si="36"/>
        <v>142.73000000000002</v>
      </c>
      <c r="Z28" s="113">
        <f t="shared" si="36"/>
        <v>3678.76</v>
      </c>
      <c r="AA28" s="109">
        <f t="shared" si="37"/>
        <v>53.340000000000018</v>
      </c>
      <c r="AB28" s="109">
        <f t="shared" si="37"/>
        <v>6147.76</v>
      </c>
      <c r="AC28" s="95">
        <f>14.91+16.34+16.8+6</f>
        <v>54.05</v>
      </c>
      <c r="AD28" s="95">
        <f>387.21+424.35+436.3+51.94+51.94+51.94</f>
        <v>1403.68</v>
      </c>
      <c r="AE28" s="129">
        <v>125</v>
      </c>
      <c r="AF28" s="129">
        <v>3175</v>
      </c>
      <c r="AG28" s="112">
        <f t="shared" si="46"/>
        <v>70.95</v>
      </c>
      <c r="AH28" s="112">
        <f t="shared" si="47"/>
        <v>1771.32</v>
      </c>
      <c r="AI28" s="94">
        <f t="shared" si="48"/>
        <v>161.32</v>
      </c>
      <c r="AJ28" s="94">
        <f>V28+AD28</f>
        <v>4074.92</v>
      </c>
      <c r="AK28" s="128">
        <f t="shared" si="50"/>
        <v>375</v>
      </c>
      <c r="AL28" s="128">
        <f t="shared" si="51"/>
        <v>9525</v>
      </c>
      <c r="AM28" s="112">
        <f t="shared" si="40"/>
        <v>213.68</v>
      </c>
      <c r="AN28" s="112">
        <f t="shared" si="41"/>
        <v>5450.08</v>
      </c>
      <c r="AO28" s="95">
        <v>79.75</v>
      </c>
      <c r="AP28" s="95">
        <v>3533.07</v>
      </c>
      <c r="AQ28" s="129">
        <v>125</v>
      </c>
      <c r="AR28" s="129">
        <v>3175</v>
      </c>
      <c r="AS28" s="112">
        <f t="shared" si="42"/>
        <v>45.25</v>
      </c>
      <c r="AT28" s="112">
        <f t="shared" si="43"/>
        <v>-358.07000000000016</v>
      </c>
      <c r="AU28" s="94">
        <f t="shared" si="52"/>
        <v>241.07</v>
      </c>
      <c r="AV28" s="94">
        <f t="shared" si="53"/>
        <v>7607.99</v>
      </c>
      <c r="AW28" s="128">
        <v>500</v>
      </c>
      <c r="AX28" s="128">
        <v>12700</v>
      </c>
      <c r="AY28" s="112">
        <f t="shared" si="44"/>
        <v>258.93</v>
      </c>
      <c r="AZ28" s="231">
        <f t="shared" si="45"/>
        <v>5092.01</v>
      </c>
      <c r="BA28" s="216">
        <v>271.95</v>
      </c>
    </row>
    <row r="29" spans="1:53" ht="16.5" thickBot="1" x14ac:dyDescent="0.3">
      <c r="A29" s="327" t="s">
        <v>156</v>
      </c>
      <c r="B29" s="328"/>
      <c r="C29" s="82">
        <v>7.05</v>
      </c>
      <c r="D29" s="83">
        <v>175.77</v>
      </c>
      <c r="E29" s="90">
        <v>7.0750000000000002</v>
      </c>
      <c r="F29" s="90">
        <v>175</v>
      </c>
      <c r="G29" s="94">
        <f t="shared" si="32"/>
        <v>2.5000000000000355E-2</v>
      </c>
      <c r="H29" s="94">
        <f t="shared" si="33"/>
        <v>-0.77000000000001023</v>
      </c>
      <c r="I29" s="97">
        <v>7.05</v>
      </c>
      <c r="J29" s="97">
        <v>169.05</v>
      </c>
      <c r="K29" s="100">
        <f t="shared" si="54"/>
        <v>0</v>
      </c>
      <c r="L29" s="100">
        <f t="shared" si="55"/>
        <v>-6.7199999999999989</v>
      </c>
      <c r="M29" s="103">
        <v>7.05</v>
      </c>
      <c r="N29" s="104">
        <v>175.77</v>
      </c>
      <c r="O29" s="92">
        <v>7.0750000000000002</v>
      </c>
      <c r="P29" s="92">
        <v>175</v>
      </c>
      <c r="Q29" s="108">
        <f t="shared" si="35"/>
        <v>2.5000000000000355E-2</v>
      </c>
      <c r="R29" s="108">
        <f t="shared" si="35"/>
        <v>-0.77000000000001023</v>
      </c>
      <c r="S29" s="80">
        <v>14.1</v>
      </c>
      <c r="T29" s="80">
        <v>338.1</v>
      </c>
      <c r="U29" s="94">
        <v>14.1</v>
      </c>
      <c r="V29" s="94">
        <v>351.54</v>
      </c>
      <c r="W29" s="101">
        <v>14.15</v>
      </c>
      <c r="X29" s="101">
        <v>350</v>
      </c>
      <c r="Y29" s="112">
        <f t="shared" si="36"/>
        <v>5.0000000000000711E-2</v>
      </c>
      <c r="Z29" s="112">
        <f t="shared" si="36"/>
        <v>-1.5400000000000205</v>
      </c>
      <c r="AA29" s="78">
        <f t="shared" si="37"/>
        <v>0</v>
      </c>
      <c r="AB29" s="78">
        <f t="shared" si="37"/>
        <v>-13.439999999999998</v>
      </c>
      <c r="AC29" s="94">
        <v>7.05</v>
      </c>
      <c r="AD29" s="94">
        <v>183.09</v>
      </c>
      <c r="AE29" s="129">
        <v>7.0750000000000002</v>
      </c>
      <c r="AF29" s="129">
        <v>175</v>
      </c>
      <c r="AG29" s="112">
        <f t="shared" si="46"/>
        <v>2.5000000000000355E-2</v>
      </c>
      <c r="AH29" s="112">
        <f t="shared" si="47"/>
        <v>-8.0900000000000034</v>
      </c>
      <c r="AI29" s="94">
        <f t="shared" si="48"/>
        <v>21.15</v>
      </c>
      <c r="AJ29" s="94">
        <f t="shared" si="49"/>
        <v>534.63</v>
      </c>
      <c r="AK29" s="128">
        <f t="shared" si="50"/>
        <v>21.225000000000001</v>
      </c>
      <c r="AL29" s="128">
        <f t="shared" si="51"/>
        <v>525</v>
      </c>
      <c r="AM29" s="112">
        <f t="shared" si="40"/>
        <v>7.5000000000002842E-2</v>
      </c>
      <c r="AN29" s="112">
        <f t="shared" si="41"/>
        <v>-9.6299999999999955</v>
      </c>
      <c r="AO29" s="94"/>
      <c r="AP29" s="94"/>
      <c r="AQ29" s="129">
        <v>7.0750000000000002</v>
      </c>
      <c r="AR29" s="129">
        <v>175</v>
      </c>
      <c r="AS29" s="112">
        <f t="shared" si="42"/>
        <v>7.0750000000000002</v>
      </c>
      <c r="AT29" s="112">
        <f t="shared" si="43"/>
        <v>175</v>
      </c>
      <c r="AU29" s="94">
        <f t="shared" si="52"/>
        <v>21.15</v>
      </c>
      <c r="AV29" s="94">
        <f t="shared" si="53"/>
        <v>534.63</v>
      </c>
      <c r="AW29" s="128">
        <v>28.3</v>
      </c>
      <c r="AX29" s="128">
        <v>700</v>
      </c>
      <c r="AY29" s="112">
        <f t="shared" si="44"/>
        <v>7.1500000000000021</v>
      </c>
      <c r="AZ29" s="231">
        <f t="shared" si="45"/>
        <v>165.37</v>
      </c>
      <c r="BA29" s="216">
        <v>18.48</v>
      </c>
    </row>
    <row r="30" spans="1:53" ht="16.5" thickBot="1" x14ac:dyDescent="0.3">
      <c r="A30" s="76" t="s">
        <v>230</v>
      </c>
      <c r="B30" s="77"/>
      <c r="C30" s="82"/>
      <c r="D30" s="83"/>
      <c r="E30" s="90"/>
      <c r="F30" s="90"/>
      <c r="G30" s="94"/>
      <c r="H30" s="94"/>
      <c r="I30" s="97"/>
      <c r="J30" s="97"/>
      <c r="K30" s="100"/>
      <c r="L30" s="100"/>
      <c r="M30" s="103"/>
      <c r="N30" s="104"/>
      <c r="O30" s="92"/>
      <c r="P30" s="92"/>
      <c r="Q30" s="108"/>
      <c r="R30" s="108"/>
      <c r="S30" s="80"/>
      <c r="T30" s="80"/>
      <c r="U30" s="94"/>
      <c r="V30" s="94"/>
      <c r="W30" s="101"/>
      <c r="X30" s="101"/>
      <c r="Y30" s="112"/>
      <c r="Z30" s="112"/>
      <c r="AA30" s="78"/>
      <c r="AB30" s="78"/>
      <c r="AC30" s="94"/>
      <c r="AD30" s="94"/>
      <c r="AE30" s="129">
        <v>7.0750000000000002</v>
      </c>
      <c r="AF30" s="129">
        <v>175</v>
      </c>
      <c r="AG30" s="112">
        <f t="shared" si="46"/>
        <v>7.0750000000000002</v>
      </c>
      <c r="AH30" s="112">
        <f t="shared" si="47"/>
        <v>175</v>
      </c>
      <c r="AI30" s="94">
        <f t="shared" si="48"/>
        <v>0</v>
      </c>
      <c r="AJ30" s="94">
        <f t="shared" si="49"/>
        <v>0</v>
      </c>
      <c r="AK30" s="128">
        <f t="shared" si="50"/>
        <v>7.0750000000000002</v>
      </c>
      <c r="AL30" s="128">
        <f t="shared" si="51"/>
        <v>175</v>
      </c>
      <c r="AM30" s="112">
        <f t="shared" si="40"/>
        <v>7.0750000000000002</v>
      </c>
      <c r="AN30" s="112">
        <f t="shared" si="41"/>
        <v>175</v>
      </c>
      <c r="AO30" s="94"/>
      <c r="AP30" s="94"/>
      <c r="AQ30" s="129">
        <v>7.0750000000000002</v>
      </c>
      <c r="AR30" s="129">
        <v>175</v>
      </c>
      <c r="AS30" s="112">
        <f t="shared" si="42"/>
        <v>7.0750000000000002</v>
      </c>
      <c r="AT30" s="112">
        <f t="shared" si="43"/>
        <v>175</v>
      </c>
      <c r="AU30" s="94">
        <f t="shared" si="52"/>
        <v>0</v>
      </c>
      <c r="AV30" s="94">
        <f t="shared" si="53"/>
        <v>0</v>
      </c>
      <c r="AW30" s="128">
        <v>28.3</v>
      </c>
      <c r="AX30" s="128">
        <v>700</v>
      </c>
      <c r="AY30" s="112">
        <f t="shared" si="44"/>
        <v>28.3</v>
      </c>
      <c r="AZ30" s="231">
        <f t="shared" si="45"/>
        <v>700</v>
      </c>
      <c r="BA30" s="216">
        <v>0</v>
      </c>
    </row>
    <row r="31" spans="1:53" s="36" customFormat="1" ht="16.5" thickBot="1" x14ac:dyDescent="0.3">
      <c r="A31" s="326" t="s">
        <v>157</v>
      </c>
      <c r="B31" s="330"/>
      <c r="C31" s="132">
        <f>SUM(C21:C30)</f>
        <v>67.97</v>
      </c>
      <c r="D31" s="132">
        <f t="shared" ref="D31:AH31" si="56">SUM(D21:D30)</f>
        <v>1680.8700000000001</v>
      </c>
      <c r="E31" s="132">
        <f t="shared" si="56"/>
        <v>183.1</v>
      </c>
      <c r="F31" s="132">
        <f t="shared" si="56"/>
        <v>4620</v>
      </c>
      <c r="G31" s="132">
        <f t="shared" si="56"/>
        <v>115.13</v>
      </c>
      <c r="H31" s="132">
        <f t="shared" si="56"/>
        <v>2939.1299999999997</v>
      </c>
      <c r="I31" s="132">
        <f t="shared" si="56"/>
        <v>133.01000000000002</v>
      </c>
      <c r="J31" s="132">
        <f t="shared" si="56"/>
        <v>6316.9000000000005</v>
      </c>
      <c r="K31" s="132">
        <f t="shared" si="56"/>
        <v>72.39</v>
      </c>
      <c r="L31" s="132">
        <f t="shared" si="56"/>
        <v>4805.5899999999992</v>
      </c>
      <c r="M31" s="132">
        <f t="shared" si="56"/>
        <v>124.64999999999999</v>
      </c>
      <c r="N31" s="132">
        <f t="shared" si="56"/>
        <v>3107.56</v>
      </c>
      <c r="O31" s="132">
        <f t="shared" si="56"/>
        <v>183.1</v>
      </c>
      <c r="P31" s="132">
        <f t="shared" si="56"/>
        <v>4620</v>
      </c>
      <c r="Q31" s="132">
        <f t="shared" si="56"/>
        <v>58.449999999999996</v>
      </c>
      <c r="R31" s="132">
        <f t="shared" si="56"/>
        <v>1512.4399999999998</v>
      </c>
      <c r="S31" s="132">
        <f t="shared" si="56"/>
        <v>262.68</v>
      </c>
      <c r="T31" s="132">
        <f t="shared" si="56"/>
        <v>10995.550000000001</v>
      </c>
      <c r="U31" s="132">
        <f t="shared" si="56"/>
        <v>184.26999999999998</v>
      </c>
      <c r="V31" s="132">
        <f t="shared" si="56"/>
        <v>4563.5999999999995</v>
      </c>
      <c r="W31" s="132">
        <f t="shared" si="56"/>
        <v>366.2</v>
      </c>
      <c r="X31" s="132">
        <f t="shared" si="56"/>
        <v>9240</v>
      </c>
      <c r="Y31" s="132">
        <f t="shared" si="56"/>
        <v>181.93</v>
      </c>
      <c r="Z31" s="132">
        <f t="shared" si="56"/>
        <v>4676.4000000000005</v>
      </c>
      <c r="AA31" s="132">
        <f t="shared" si="56"/>
        <v>78.410000000000025</v>
      </c>
      <c r="AB31" s="132">
        <f t="shared" si="56"/>
        <v>6431.9500000000007</v>
      </c>
      <c r="AC31" s="132">
        <f t="shared" si="56"/>
        <v>88.399999999999991</v>
      </c>
      <c r="AD31" s="132">
        <f t="shared" si="56"/>
        <v>2287.0600000000004</v>
      </c>
      <c r="AE31" s="132">
        <f>SUM(AE21:AE30)</f>
        <v>190.17499999999998</v>
      </c>
      <c r="AF31" s="132">
        <f t="shared" si="56"/>
        <v>4795</v>
      </c>
      <c r="AG31" s="132">
        <f t="shared" si="56"/>
        <v>101.77500000000001</v>
      </c>
      <c r="AH31" s="132">
        <f t="shared" si="56"/>
        <v>2507.9399999999996</v>
      </c>
      <c r="AI31" s="132">
        <f t="shared" ref="AI31" si="57">SUM(AI21:AI30)</f>
        <v>272.66999999999996</v>
      </c>
      <c r="AJ31" s="132">
        <f t="shared" ref="AJ31" si="58">SUM(AJ21:AJ30)</f>
        <v>6850.6600000000008</v>
      </c>
      <c r="AK31" s="132">
        <f>SUM(AK21:AK30)</f>
        <v>556.37500000000011</v>
      </c>
      <c r="AL31" s="132">
        <f t="shared" ref="AL31" si="59">SUM(AL21:AL30)</f>
        <v>14035</v>
      </c>
      <c r="AM31" s="132">
        <f t="shared" ref="AM31" si="60">SUM(AM21:AM30)</f>
        <v>283.70499999999998</v>
      </c>
      <c r="AN31" s="132">
        <f t="shared" ref="AN31:AP31" si="61">SUM(AN21:AN30)</f>
        <v>7184.3399999999992</v>
      </c>
      <c r="AO31" s="132">
        <f t="shared" si="61"/>
        <v>100.5</v>
      </c>
      <c r="AP31" s="132">
        <f t="shared" si="61"/>
        <v>4069.0600000000004</v>
      </c>
      <c r="AQ31" s="132">
        <f>SUM(AQ21:AQ30)</f>
        <v>190.17499999999998</v>
      </c>
      <c r="AR31" s="132">
        <f t="shared" ref="AR31:AV31" si="62">SUM(AR21:AR30)</f>
        <v>4795</v>
      </c>
      <c r="AS31" s="132">
        <f t="shared" si="62"/>
        <v>89.675000000000011</v>
      </c>
      <c r="AT31" s="132">
        <f t="shared" si="62"/>
        <v>725.93999999999983</v>
      </c>
      <c r="AU31" s="132">
        <f t="shared" si="62"/>
        <v>373.16999999999996</v>
      </c>
      <c r="AV31" s="132">
        <f t="shared" si="62"/>
        <v>10919.72</v>
      </c>
      <c r="AW31" s="132">
        <f>SUM(AW21:AW30)</f>
        <v>760.69999999999993</v>
      </c>
      <c r="AX31" s="132">
        <f t="shared" ref="AX31:AZ31" si="63">SUM(AX21:AX30)</f>
        <v>19180</v>
      </c>
      <c r="AY31" s="132">
        <f t="shared" si="63"/>
        <v>387.53000000000003</v>
      </c>
      <c r="AZ31" s="233">
        <f t="shared" si="63"/>
        <v>8260.2799999999988</v>
      </c>
      <c r="BA31" s="217">
        <v>456.61</v>
      </c>
    </row>
    <row r="32" spans="1:53" ht="16.5" thickBot="1" x14ac:dyDescent="0.3">
      <c r="A32" s="327" t="s">
        <v>158</v>
      </c>
      <c r="B32" s="328"/>
      <c r="C32" s="82">
        <v>8</v>
      </c>
      <c r="D32" s="83">
        <v>299.16000000000003</v>
      </c>
      <c r="E32" s="90"/>
      <c r="F32" s="90"/>
      <c r="G32" s="94">
        <f t="shared" si="32"/>
        <v>-8</v>
      </c>
      <c r="H32" s="94">
        <f t="shared" si="33"/>
        <v>-299.16000000000003</v>
      </c>
      <c r="I32" s="97">
        <v>2.5</v>
      </c>
      <c r="J32" s="97">
        <v>59.95</v>
      </c>
      <c r="K32" s="100">
        <f t="shared" si="54"/>
        <v>-5.5</v>
      </c>
      <c r="L32" s="100">
        <f t="shared" si="55"/>
        <v>-239.21000000000004</v>
      </c>
      <c r="M32" s="103"/>
      <c r="N32" s="104"/>
      <c r="O32" s="92"/>
      <c r="P32" s="92"/>
      <c r="Q32" s="108">
        <f t="shared" si="35"/>
        <v>0</v>
      </c>
      <c r="R32" s="108">
        <f t="shared" si="35"/>
        <v>0</v>
      </c>
      <c r="S32" s="80">
        <v>5.5</v>
      </c>
      <c r="T32" s="80">
        <v>143.88</v>
      </c>
      <c r="U32" s="94">
        <v>8</v>
      </c>
      <c r="V32" s="94">
        <v>299.16000000000003</v>
      </c>
      <c r="W32" s="101"/>
      <c r="X32" s="101"/>
      <c r="Y32" s="112"/>
      <c r="Z32" s="112"/>
      <c r="AA32" s="78">
        <f t="shared" ref="AA32:AB46" si="64">S32-U32</f>
        <v>-2.5</v>
      </c>
      <c r="AB32" s="78">
        <f t="shared" si="37"/>
        <v>-155.28000000000003</v>
      </c>
      <c r="AC32" s="94"/>
      <c r="AD32" s="94"/>
      <c r="AE32" s="129"/>
      <c r="AF32" s="129"/>
      <c r="AG32" s="112"/>
      <c r="AH32" s="112"/>
      <c r="AI32" s="94">
        <f t="shared" ref="AI32:AI37" si="65">U32+AC32</f>
        <v>8</v>
      </c>
      <c r="AJ32" s="94">
        <f t="shared" ref="AJ32:AJ37" si="66">V32+AD32</f>
        <v>299.16000000000003</v>
      </c>
      <c r="AK32" s="128">
        <f t="shared" ref="AK32:AK37" si="67">W32+AE32</f>
        <v>0</v>
      </c>
      <c r="AL32" s="128">
        <f t="shared" ref="AL32:AL37" si="68">X32+AF32</f>
        <v>0</v>
      </c>
      <c r="AM32" s="112"/>
      <c r="AN32" s="112"/>
      <c r="AO32" s="94"/>
      <c r="AP32" s="94"/>
      <c r="AQ32" s="129"/>
      <c r="AR32" s="129"/>
      <c r="AS32" s="112"/>
      <c r="AT32" s="112"/>
      <c r="AU32" s="94">
        <v>8</v>
      </c>
      <c r="AV32" s="94">
        <v>299.16000000000003</v>
      </c>
      <c r="AW32" s="128"/>
      <c r="AX32" s="128"/>
      <c r="AY32" s="112"/>
      <c r="AZ32" s="231"/>
      <c r="BA32" s="216">
        <v>24</v>
      </c>
    </row>
    <row r="33" spans="1:53" ht="16.5" thickBot="1" x14ac:dyDescent="0.3">
      <c r="A33" s="327" t="s">
        <v>159</v>
      </c>
      <c r="B33" s="328"/>
      <c r="C33" s="82"/>
      <c r="D33" s="83"/>
      <c r="E33" s="90"/>
      <c r="F33" s="90"/>
      <c r="G33" s="94">
        <f t="shared" si="32"/>
        <v>0</v>
      </c>
      <c r="H33" s="94">
        <f t="shared" si="33"/>
        <v>0</v>
      </c>
      <c r="I33" s="97">
        <v>1.5</v>
      </c>
      <c r="J33" s="97">
        <v>35.97</v>
      </c>
      <c r="K33" s="100">
        <f t="shared" si="54"/>
        <v>1.5</v>
      </c>
      <c r="L33" s="100">
        <f t="shared" si="55"/>
        <v>35.97</v>
      </c>
      <c r="M33" s="103"/>
      <c r="N33" s="104"/>
      <c r="O33" s="92"/>
      <c r="P33" s="92"/>
      <c r="Q33" s="108">
        <f t="shared" si="35"/>
        <v>0</v>
      </c>
      <c r="R33" s="108">
        <f t="shared" si="35"/>
        <v>0</v>
      </c>
      <c r="S33" s="80">
        <v>3</v>
      </c>
      <c r="T33" s="80">
        <v>71.94</v>
      </c>
      <c r="U33" s="94"/>
      <c r="V33" s="94"/>
      <c r="W33" s="101"/>
      <c r="X33" s="101"/>
      <c r="Y33" s="112"/>
      <c r="Z33" s="112"/>
      <c r="AA33" s="78">
        <f t="shared" si="64"/>
        <v>3</v>
      </c>
      <c r="AB33" s="78">
        <f t="shared" si="37"/>
        <v>71.94</v>
      </c>
      <c r="AC33" s="94"/>
      <c r="AD33" s="94"/>
      <c r="AE33" s="129"/>
      <c r="AF33" s="129"/>
      <c r="AG33" s="112">
        <f t="shared" ref="AG33:AG43" si="69">AE33-AC33</f>
        <v>0</v>
      </c>
      <c r="AH33" s="112">
        <f t="shared" ref="AH33:AH43" si="70">AF33-AD33</f>
        <v>0</v>
      </c>
      <c r="AI33" s="94">
        <f t="shared" si="65"/>
        <v>0</v>
      </c>
      <c r="AJ33" s="94">
        <f t="shared" si="66"/>
        <v>0</v>
      </c>
      <c r="AK33" s="128">
        <f t="shared" si="67"/>
        <v>0</v>
      </c>
      <c r="AL33" s="128">
        <f t="shared" si="68"/>
        <v>0</v>
      </c>
      <c r="AM33" s="112">
        <f t="shared" ref="AM33:AM43" si="71">AK33-AI33</f>
        <v>0</v>
      </c>
      <c r="AN33" s="112">
        <f t="shared" ref="AN33:AN43" si="72">AL33-AJ33</f>
        <v>0</v>
      </c>
      <c r="AO33" s="94">
        <v>2.5</v>
      </c>
      <c r="AP33" s="94">
        <v>65</v>
      </c>
      <c r="AQ33" s="129"/>
      <c r="AR33" s="129"/>
      <c r="AS33" s="112">
        <f t="shared" ref="AS33:AS43" si="73">AQ33-AO33</f>
        <v>-2.5</v>
      </c>
      <c r="AT33" s="112">
        <f t="shared" ref="AT33:AT43" si="74">AR33-AP33</f>
        <v>-65</v>
      </c>
      <c r="AU33" s="94">
        <v>2.5</v>
      </c>
      <c r="AV33" s="94">
        <v>65</v>
      </c>
      <c r="AW33" s="128">
        <f t="shared" ref="AW33" si="75">AI33+AQ33</f>
        <v>0</v>
      </c>
      <c r="AX33" s="128">
        <f t="shared" ref="AX33" si="76">AJ33+AR33</f>
        <v>0</v>
      </c>
      <c r="AY33" s="112">
        <f t="shared" ref="AY33:AY43" si="77">AW33-AU33</f>
        <v>-2.5</v>
      </c>
      <c r="AZ33" s="231">
        <f t="shared" ref="AZ33:AZ43" si="78">AX33-AV33</f>
        <v>-65</v>
      </c>
      <c r="BA33" s="216">
        <v>17</v>
      </c>
    </row>
    <row r="34" spans="1:53" ht="16.5" thickBot="1" x14ac:dyDescent="0.3">
      <c r="A34" s="327" t="s">
        <v>37</v>
      </c>
      <c r="B34" s="328"/>
      <c r="C34" s="82">
        <v>17.7</v>
      </c>
      <c r="D34" s="83">
        <v>408.33</v>
      </c>
      <c r="E34" s="90"/>
      <c r="F34" s="90"/>
      <c r="G34" s="94">
        <f t="shared" si="32"/>
        <v>-17.7</v>
      </c>
      <c r="H34" s="94">
        <f t="shared" si="33"/>
        <v>-408.33</v>
      </c>
      <c r="I34" s="97"/>
      <c r="J34" s="97"/>
      <c r="K34" s="100">
        <f t="shared" si="54"/>
        <v>-17.7</v>
      </c>
      <c r="L34" s="100">
        <f t="shared" si="55"/>
        <v>-408.33</v>
      </c>
      <c r="M34" s="103">
        <v>43.5</v>
      </c>
      <c r="N34" s="104">
        <v>1084.46</v>
      </c>
      <c r="O34" s="92"/>
      <c r="P34" s="92"/>
      <c r="Q34" s="108">
        <f t="shared" si="35"/>
        <v>-43.5</v>
      </c>
      <c r="R34" s="108">
        <f t="shared" si="35"/>
        <v>-1084.46</v>
      </c>
      <c r="S34" s="80">
        <v>35.4</v>
      </c>
      <c r="T34" s="80">
        <v>768.18</v>
      </c>
      <c r="U34" s="94">
        <v>61.2</v>
      </c>
      <c r="V34" s="94">
        <v>1492.79</v>
      </c>
      <c r="W34" s="101"/>
      <c r="X34" s="101"/>
      <c r="Y34" s="112"/>
      <c r="Z34" s="112"/>
      <c r="AA34" s="78">
        <f t="shared" si="64"/>
        <v>-25.800000000000004</v>
      </c>
      <c r="AB34" s="78">
        <f t="shared" si="37"/>
        <v>-724.61</v>
      </c>
      <c r="AC34" s="94"/>
      <c r="AD34" s="94"/>
      <c r="AE34" s="129"/>
      <c r="AF34" s="129"/>
      <c r="AG34" s="112">
        <f t="shared" si="69"/>
        <v>0</v>
      </c>
      <c r="AH34" s="112">
        <f t="shared" si="70"/>
        <v>0</v>
      </c>
      <c r="AI34" s="94">
        <f t="shared" si="65"/>
        <v>61.2</v>
      </c>
      <c r="AJ34" s="94">
        <f t="shared" si="66"/>
        <v>1492.79</v>
      </c>
      <c r="AK34" s="128">
        <f t="shared" si="67"/>
        <v>0</v>
      </c>
      <c r="AL34" s="128">
        <f t="shared" si="68"/>
        <v>0</v>
      </c>
      <c r="AM34" s="112">
        <f t="shared" si="71"/>
        <v>-61.2</v>
      </c>
      <c r="AN34" s="112">
        <f t="shared" si="72"/>
        <v>-1492.79</v>
      </c>
      <c r="AO34" s="94">
        <v>1.5</v>
      </c>
      <c r="AP34" s="94">
        <v>34.61</v>
      </c>
      <c r="AQ34" s="129"/>
      <c r="AR34" s="129"/>
      <c r="AS34" s="112">
        <f t="shared" si="73"/>
        <v>-1.5</v>
      </c>
      <c r="AT34" s="112">
        <f t="shared" si="74"/>
        <v>-34.61</v>
      </c>
      <c r="AU34" s="94">
        <v>62.7</v>
      </c>
      <c r="AV34" s="94">
        <v>1527.4</v>
      </c>
      <c r="AW34" s="128"/>
      <c r="AX34" s="128"/>
      <c r="AY34" s="112">
        <f t="shared" si="77"/>
        <v>-62.7</v>
      </c>
      <c r="AZ34" s="231">
        <f t="shared" si="78"/>
        <v>-1527.4</v>
      </c>
      <c r="BA34" s="216">
        <v>71.3</v>
      </c>
    </row>
    <row r="35" spans="1:53" ht="16.5" thickBot="1" x14ac:dyDescent="0.3">
      <c r="A35" s="327" t="s">
        <v>160</v>
      </c>
      <c r="B35" s="328"/>
      <c r="C35" s="82">
        <v>10.5</v>
      </c>
      <c r="D35" s="83">
        <v>261.77999999999997</v>
      </c>
      <c r="E35" s="90"/>
      <c r="F35" s="90"/>
      <c r="G35" s="94">
        <f t="shared" si="32"/>
        <v>-10.5</v>
      </c>
      <c r="H35" s="94">
        <f t="shared" si="33"/>
        <v>-261.77999999999997</v>
      </c>
      <c r="I35" s="97">
        <v>10.050000000000001</v>
      </c>
      <c r="J35" s="97">
        <v>151.79</v>
      </c>
      <c r="K35" s="100">
        <f t="shared" si="54"/>
        <v>-0.44999999999999929</v>
      </c>
      <c r="L35" s="100">
        <f t="shared" si="55"/>
        <v>-109.98999999999998</v>
      </c>
      <c r="M35" s="103">
        <v>10.5</v>
      </c>
      <c r="N35" s="104">
        <v>261.77999999999997</v>
      </c>
      <c r="O35" s="92"/>
      <c r="P35" s="92"/>
      <c r="Q35" s="108">
        <f t="shared" si="35"/>
        <v>-10.5</v>
      </c>
      <c r="R35" s="108">
        <f t="shared" si="35"/>
        <v>-261.77999999999997</v>
      </c>
      <c r="S35" s="80">
        <v>20.100000000000001</v>
      </c>
      <c r="T35" s="80">
        <v>503.58</v>
      </c>
      <c r="U35" s="94">
        <v>21</v>
      </c>
      <c r="V35" s="94">
        <v>523.55999999999995</v>
      </c>
      <c r="W35" s="101"/>
      <c r="X35" s="101"/>
      <c r="Y35" s="112"/>
      <c r="Z35" s="112"/>
      <c r="AA35" s="78">
        <f t="shared" si="64"/>
        <v>-0.89999999999999858</v>
      </c>
      <c r="AB35" s="78">
        <f t="shared" si="64"/>
        <v>-19.979999999999961</v>
      </c>
      <c r="AC35" s="94"/>
      <c r="AD35" s="94"/>
      <c r="AE35" s="129"/>
      <c r="AF35" s="129"/>
      <c r="AG35" s="112">
        <f t="shared" si="69"/>
        <v>0</v>
      </c>
      <c r="AH35" s="112">
        <f t="shared" si="70"/>
        <v>0</v>
      </c>
      <c r="AI35" s="94">
        <f t="shared" si="65"/>
        <v>21</v>
      </c>
      <c r="AJ35" s="94">
        <f t="shared" si="66"/>
        <v>523.55999999999995</v>
      </c>
      <c r="AK35" s="128">
        <f t="shared" si="67"/>
        <v>0</v>
      </c>
      <c r="AL35" s="128">
        <f t="shared" si="68"/>
        <v>0</v>
      </c>
      <c r="AM35" s="112">
        <f t="shared" si="71"/>
        <v>-21</v>
      </c>
      <c r="AN35" s="112">
        <f t="shared" si="72"/>
        <v>-523.55999999999995</v>
      </c>
      <c r="AO35" s="94"/>
      <c r="AP35" s="94"/>
      <c r="AQ35" s="129"/>
      <c r="AR35" s="129"/>
      <c r="AS35" s="112">
        <f t="shared" si="73"/>
        <v>0</v>
      </c>
      <c r="AT35" s="112">
        <f t="shared" si="74"/>
        <v>0</v>
      </c>
      <c r="AU35" s="94">
        <v>21</v>
      </c>
      <c r="AV35" s="94">
        <v>523.55999999999995</v>
      </c>
      <c r="AW35" s="128"/>
      <c r="AX35" s="128"/>
      <c r="AY35" s="112">
        <f t="shared" si="77"/>
        <v>-21</v>
      </c>
      <c r="AZ35" s="231">
        <f t="shared" si="78"/>
        <v>-523.55999999999995</v>
      </c>
      <c r="BA35" s="216">
        <v>42.1</v>
      </c>
    </row>
    <row r="36" spans="1:53" ht="16.5" thickBot="1" x14ac:dyDescent="0.3">
      <c r="A36" s="327" t="s">
        <v>161</v>
      </c>
      <c r="B36" s="328"/>
      <c r="C36" s="82">
        <v>22.8</v>
      </c>
      <c r="D36" s="83">
        <v>568.41</v>
      </c>
      <c r="E36" s="90"/>
      <c r="F36" s="90"/>
      <c r="G36" s="94">
        <f t="shared" si="32"/>
        <v>-22.8</v>
      </c>
      <c r="H36" s="94">
        <f t="shared" si="33"/>
        <v>-568.41</v>
      </c>
      <c r="I36" s="97">
        <v>22.8</v>
      </c>
      <c r="J36" s="97">
        <v>546.72</v>
      </c>
      <c r="K36" s="100">
        <f t="shared" si="54"/>
        <v>0</v>
      </c>
      <c r="L36" s="100">
        <f t="shared" si="55"/>
        <v>-21.689999999999941</v>
      </c>
      <c r="M36" s="103">
        <v>22.8</v>
      </c>
      <c r="N36" s="104">
        <v>568.41</v>
      </c>
      <c r="O36" s="92"/>
      <c r="P36" s="92"/>
      <c r="Q36" s="108">
        <f t="shared" si="35"/>
        <v>-22.8</v>
      </c>
      <c r="R36" s="108">
        <f t="shared" si="35"/>
        <v>-568.41</v>
      </c>
      <c r="S36" s="80">
        <v>45.6</v>
      </c>
      <c r="T36" s="80">
        <v>1093.44</v>
      </c>
      <c r="U36" s="94">
        <v>45.6</v>
      </c>
      <c r="V36" s="94">
        <v>1136.82</v>
      </c>
      <c r="W36" s="101"/>
      <c r="X36" s="101"/>
      <c r="Y36" s="112"/>
      <c r="Z36" s="112"/>
      <c r="AA36" s="78">
        <f t="shared" si="64"/>
        <v>0</v>
      </c>
      <c r="AB36" s="78">
        <f t="shared" si="64"/>
        <v>-43.379999999999882</v>
      </c>
      <c r="AC36" s="94"/>
      <c r="AD36" s="94"/>
      <c r="AE36" s="129"/>
      <c r="AF36" s="129"/>
      <c r="AG36" s="112">
        <f t="shared" si="69"/>
        <v>0</v>
      </c>
      <c r="AH36" s="112">
        <f t="shared" si="70"/>
        <v>0</v>
      </c>
      <c r="AI36" s="94">
        <f t="shared" si="65"/>
        <v>45.6</v>
      </c>
      <c r="AJ36" s="94">
        <f t="shared" si="66"/>
        <v>1136.82</v>
      </c>
      <c r="AK36" s="128">
        <f t="shared" si="67"/>
        <v>0</v>
      </c>
      <c r="AL36" s="128">
        <f t="shared" si="68"/>
        <v>0</v>
      </c>
      <c r="AM36" s="112">
        <f t="shared" si="71"/>
        <v>-45.6</v>
      </c>
      <c r="AN36" s="112">
        <f t="shared" si="72"/>
        <v>-1136.82</v>
      </c>
      <c r="AO36" s="94"/>
      <c r="AP36" s="94"/>
      <c r="AQ36" s="129"/>
      <c r="AR36" s="129"/>
      <c r="AS36" s="112">
        <f t="shared" si="73"/>
        <v>0</v>
      </c>
      <c r="AT36" s="112">
        <f t="shared" si="74"/>
        <v>0</v>
      </c>
      <c r="AU36" s="94">
        <v>45.6</v>
      </c>
      <c r="AV36" s="94">
        <v>1136.82</v>
      </c>
      <c r="AW36" s="128"/>
      <c r="AX36" s="128"/>
      <c r="AY36" s="112">
        <f t="shared" si="77"/>
        <v>-45.6</v>
      </c>
      <c r="AZ36" s="231">
        <f t="shared" si="78"/>
        <v>-1136.82</v>
      </c>
      <c r="BA36" s="216">
        <v>90.8</v>
      </c>
    </row>
    <row r="37" spans="1:53" ht="16.5" thickBot="1" x14ac:dyDescent="0.3">
      <c r="A37" s="327" t="s">
        <v>36</v>
      </c>
      <c r="B37" s="328"/>
      <c r="C37" s="82">
        <v>31.8</v>
      </c>
      <c r="D37" s="83">
        <v>792.78</v>
      </c>
      <c r="E37" s="90"/>
      <c r="F37" s="90"/>
      <c r="G37" s="94">
        <f t="shared" si="32"/>
        <v>-31.8</v>
      </c>
      <c r="H37" s="94">
        <f t="shared" si="33"/>
        <v>-792.78</v>
      </c>
      <c r="I37" s="97">
        <v>31.8</v>
      </c>
      <c r="J37" s="97">
        <v>752.57</v>
      </c>
      <c r="K37" s="100">
        <f t="shared" si="54"/>
        <v>0</v>
      </c>
      <c r="L37" s="100">
        <f t="shared" si="55"/>
        <v>-40.209999999999923</v>
      </c>
      <c r="M37" s="103">
        <v>11</v>
      </c>
      <c r="N37" s="104">
        <v>273.52999999999997</v>
      </c>
      <c r="O37" s="92"/>
      <c r="P37" s="92"/>
      <c r="Q37" s="108">
        <f t="shared" si="35"/>
        <v>-11</v>
      </c>
      <c r="R37" s="108">
        <f t="shared" si="35"/>
        <v>-273.52999999999997</v>
      </c>
      <c r="S37" s="80">
        <v>63.6</v>
      </c>
      <c r="T37" s="80">
        <v>1505.14</v>
      </c>
      <c r="U37" s="94">
        <v>42.8</v>
      </c>
      <c r="V37" s="94">
        <v>1066.31</v>
      </c>
      <c r="W37" s="101"/>
      <c r="X37" s="101"/>
      <c r="Y37" s="112"/>
      <c r="Z37" s="112"/>
      <c r="AA37" s="78">
        <f t="shared" si="64"/>
        <v>20.800000000000004</v>
      </c>
      <c r="AB37" s="78">
        <f t="shared" si="64"/>
        <v>438.83000000000015</v>
      </c>
      <c r="AC37" s="94"/>
      <c r="AD37" s="94"/>
      <c r="AE37" s="129"/>
      <c r="AF37" s="129"/>
      <c r="AG37" s="112">
        <f t="shared" si="69"/>
        <v>0</v>
      </c>
      <c r="AH37" s="112">
        <f t="shared" si="70"/>
        <v>0</v>
      </c>
      <c r="AI37" s="94">
        <f t="shared" si="65"/>
        <v>42.8</v>
      </c>
      <c r="AJ37" s="94">
        <f t="shared" si="66"/>
        <v>1066.31</v>
      </c>
      <c r="AK37" s="128">
        <f t="shared" si="67"/>
        <v>0</v>
      </c>
      <c r="AL37" s="128">
        <f t="shared" si="68"/>
        <v>0</v>
      </c>
      <c r="AM37" s="112">
        <f t="shared" si="71"/>
        <v>-42.8</v>
      </c>
      <c r="AN37" s="112">
        <f t="shared" si="72"/>
        <v>-1066.31</v>
      </c>
      <c r="AO37" s="94">
        <v>10.5</v>
      </c>
      <c r="AP37" s="94">
        <v>272.69</v>
      </c>
      <c r="AQ37" s="129"/>
      <c r="AR37" s="129"/>
      <c r="AS37" s="112">
        <f t="shared" si="73"/>
        <v>-10.5</v>
      </c>
      <c r="AT37" s="112">
        <f t="shared" si="74"/>
        <v>-272.69</v>
      </c>
      <c r="AU37" s="94">
        <v>53.3</v>
      </c>
      <c r="AV37" s="94">
        <v>1339</v>
      </c>
      <c r="AW37" s="128"/>
      <c r="AX37" s="128"/>
      <c r="AY37" s="112">
        <f t="shared" si="77"/>
        <v>-53.3</v>
      </c>
      <c r="AZ37" s="231">
        <f t="shared" si="78"/>
        <v>-1339</v>
      </c>
      <c r="BA37" s="216">
        <v>126.8</v>
      </c>
    </row>
    <row r="38" spans="1:53" s="138" customFormat="1" ht="16.5" thickBot="1" x14ac:dyDescent="0.3">
      <c r="A38" s="134" t="s">
        <v>162</v>
      </c>
      <c r="B38" s="135"/>
      <c r="C38" s="136">
        <f>SUM(C32:C37)</f>
        <v>90.8</v>
      </c>
      <c r="D38" s="136">
        <f>SUM(D32:D37)</f>
        <v>2330.46</v>
      </c>
      <c r="E38" s="139">
        <v>105</v>
      </c>
      <c r="F38" s="139">
        <v>2675</v>
      </c>
      <c r="G38" s="137">
        <f t="shared" si="32"/>
        <v>14.200000000000003</v>
      </c>
      <c r="H38" s="137">
        <f t="shared" si="33"/>
        <v>344.53999999999996</v>
      </c>
      <c r="I38" s="137">
        <v>68.650000000000006</v>
      </c>
      <c r="J38" s="137">
        <v>1547</v>
      </c>
      <c r="K38" s="137">
        <f t="shared" si="54"/>
        <v>-22.149999999999991</v>
      </c>
      <c r="L38" s="137">
        <f t="shared" si="55"/>
        <v>-783.46</v>
      </c>
      <c r="M38" s="136">
        <f>SUM(M32:M37)</f>
        <v>87.8</v>
      </c>
      <c r="N38" s="136">
        <f>SUM(N32:N37)</f>
        <v>2188.1800000000003</v>
      </c>
      <c r="O38" s="139">
        <v>105</v>
      </c>
      <c r="P38" s="139">
        <v>2675</v>
      </c>
      <c r="Q38" s="137">
        <f t="shared" si="35"/>
        <v>17.200000000000003</v>
      </c>
      <c r="R38" s="137">
        <f t="shared" si="35"/>
        <v>486.81999999999971</v>
      </c>
      <c r="S38" s="137">
        <v>173.2</v>
      </c>
      <c r="T38" s="137">
        <v>4086.16</v>
      </c>
      <c r="U38" s="137">
        <v>180.7</v>
      </c>
      <c r="V38" s="137">
        <v>4660.92</v>
      </c>
      <c r="W38" s="139">
        <v>210</v>
      </c>
      <c r="X38" s="139">
        <v>5350</v>
      </c>
      <c r="Y38" s="137">
        <f>W38-U38</f>
        <v>29.300000000000011</v>
      </c>
      <c r="Z38" s="137">
        <f>X38-V38</f>
        <v>689.07999999999993</v>
      </c>
      <c r="AA38" s="137">
        <f t="shared" si="64"/>
        <v>-7.5</v>
      </c>
      <c r="AB38" s="137">
        <f t="shared" si="64"/>
        <v>-574.76000000000022</v>
      </c>
      <c r="AC38" s="137"/>
      <c r="AD38" s="137"/>
      <c r="AE38" s="139">
        <v>105</v>
      </c>
      <c r="AF38" s="139">
        <v>2675</v>
      </c>
      <c r="AG38" s="137">
        <f t="shared" si="69"/>
        <v>105</v>
      </c>
      <c r="AH38" s="137">
        <f t="shared" si="70"/>
        <v>2675</v>
      </c>
      <c r="AI38" s="137"/>
      <c r="AJ38" s="137"/>
      <c r="AK38" s="139">
        <v>105</v>
      </c>
      <c r="AL38" s="139">
        <v>2675</v>
      </c>
      <c r="AM38" s="137">
        <f t="shared" si="71"/>
        <v>105</v>
      </c>
      <c r="AN38" s="137">
        <f t="shared" si="72"/>
        <v>2675</v>
      </c>
      <c r="AO38" s="137"/>
      <c r="AP38" s="137"/>
      <c r="AQ38" s="139">
        <v>105</v>
      </c>
      <c r="AR38" s="139">
        <v>2675</v>
      </c>
      <c r="AS38" s="137">
        <f t="shared" si="73"/>
        <v>105</v>
      </c>
      <c r="AT38" s="137">
        <f t="shared" si="74"/>
        <v>2675</v>
      </c>
      <c r="AU38" s="137">
        <v>193.1</v>
      </c>
      <c r="AV38" s="137">
        <v>4890.9399999999996</v>
      </c>
      <c r="AW38" s="139">
        <v>420</v>
      </c>
      <c r="AX38" s="139">
        <v>10700</v>
      </c>
      <c r="AY38" s="137">
        <f t="shared" si="77"/>
        <v>226.9</v>
      </c>
      <c r="AZ38" s="234">
        <f t="shared" si="78"/>
        <v>5809.06</v>
      </c>
      <c r="BA38" s="226">
        <v>372</v>
      </c>
    </row>
    <row r="39" spans="1:53" ht="16.5" thickBot="1" x14ac:dyDescent="0.3">
      <c r="A39" s="327" t="s">
        <v>163</v>
      </c>
      <c r="B39" s="328"/>
      <c r="C39" s="82">
        <v>3.45</v>
      </c>
      <c r="D39" s="83">
        <v>86.01</v>
      </c>
      <c r="E39" s="90"/>
      <c r="F39" s="90"/>
      <c r="G39" s="94">
        <f t="shared" si="32"/>
        <v>-3.45</v>
      </c>
      <c r="H39" s="94">
        <f t="shared" si="33"/>
        <v>-86.01</v>
      </c>
      <c r="I39" s="97">
        <v>3.45</v>
      </c>
      <c r="J39" s="97">
        <v>82.74</v>
      </c>
      <c r="K39" s="100">
        <f t="shared" si="54"/>
        <v>0</v>
      </c>
      <c r="L39" s="100">
        <f t="shared" si="55"/>
        <v>-3.2700000000000102</v>
      </c>
      <c r="M39" s="103">
        <v>3.45</v>
      </c>
      <c r="N39" s="104">
        <v>86.01</v>
      </c>
      <c r="O39" s="92"/>
      <c r="P39" s="92"/>
      <c r="Q39" s="108">
        <f t="shared" si="35"/>
        <v>-3.45</v>
      </c>
      <c r="R39" s="108">
        <f t="shared" si="35"/>
        <v>-86.01</v>
      </c>
      <c r="S39" s="80">
        <v>6.9</v>
      </c>
      <c r="T39" s="80">
        <v>165.48</v>
      </c>
      <c r="U39" s="94">
        <v>6.9</v>
      </c>
      <c r="V39" s="94">
        <v>172.02</v>
      </c>
      <c r="W39" s="101"/>
      <c r="X39" s="101"/>
      <c r="Y39" s="112"/>
      <c r="Z39" s="112"/>
      <c r="AA39" s="78">
        <f t="shared" si="64"/>
        <v>0</v>
      </c>
      <c r="AB39" s="78">
        <f t="shared" si="64"/>
        <v>-6.5400000000000205</v>
      </c>
      <c r="AC39" s="94"/>
      <c r="AD39" s="94"/>
      <c r="AE39" s="129"/>
      <c r="AF39" s="129"/>
      <c r="AG39" s="112">
        <f t="shared" si="69"/>
        <v>0</v>
      </c>
      <c r="AH39" s="112">
        <f t="shared" si="70"/>
        <v>0</v>
      </c>
      <c r="AI39" s="94">
        <f t="shared" ref="AI39:AI42" si="79">U39+AC39</f>
        <v>6.9</v>
      </c>
      <c r="AJ39" s="94">
        <f t="shared" ref="AJ39:AJ42" si="80">V39+AD39</f>
        <v>172.02</v>
      </c>
      <c r="AK39" s="128">
        <f t="shared" ref="AK39:AK42" si="81">W39+AE39</f>
        <v>0</v>
      </c>
      <c r="AL39" s="128">
        <f t="shared" ref="AL39:AL42" si="82">X39+AF39</f>
        <v>0</v>
      </c>
      <c r="AM39" s="112">
        <f t="shared" si="71"/>
        <v>-6.9</v>
      </c>
      <c r="AN39" s="112">
        <f t="shared" si="72"/>
        <v>-172.02</v>
      </c>
      <c r="AO39" s="94">
        <v>1</v>
      </c>
      <c r="AP39" s="94">
        <v>23.07</v>
      </c>
      <c r="AQ39" s="129"/>
      <c r="AR39" s="129"/>
      <c r="AS39" s="112">
        <f t="shared" si="73"/>
        <v>-1</v>
      </c>
      <c r="AT39" s="112">
        <f t="shared" si="74"/>
        <v>-23.07</v>
      </c>
      <c r="AU39" s="94">
        <v>7.9</v>
      </c>
      <c r="AV39" s="94">
        <v>195.09</v>
      </c>
      <c r="AW39" s="128"/>
      <c r="AX39" s="128"/>
      <c r="AY39" s="112">
        <f t="shared" si="77"/>
        <v>-7.9</v>
      </c>
      <c r="AZ39" s="231">
        <f t="shared" si="78"/>
        <v>-195.09</v>
      </c>
      <c r="BA39" s="216">
        <v>13.66</v>
      </c>
    </row>
    <row r="40" spans="1:53" ht="16.5" thickBot="1" x14ac:dyDescent="0.3">
      <c r="A40" s="327" t="s">
        <v>164</v>
      </c>
      <c r="B40" s="328"/>
      <c r="C40" s="82">
        <v>3.39</v>
      </c>
      <c r="D40" s="83">
        <v>84.51</v>
      </c>
      <c r="E40" s="90"/>
      <c r="F40" s="90"/>
      <c r="G40" s="94">
        <f t="shared" si="32"/>
        <v>-3.39</v>
      </c>
      <c r="H40" s="94">
        <f t="shared" si="33"/>
        <v>-84.51</v>
      </c>
      <c r="I40" s="97">
        <v>3.39</v>
      </c>
      <c r="J40" s="97">
        <v>81.3</v>
      </c>
      <c r="K40" s="100">
        <f t="shared" si="54"/>
        <v>0</v>
      </c>
      <c r="L40" s="100">
        <f t="shared" si="55"/>
        <v>-3.210000000000008</v>
      </c>
      <c r="M40" s="103">
        <v>3.39</v>
      </c>
      <c r="N40" s="104">
        <v>84.51</v>
      </c>
      <c r="O40" s="92"/>
      <c r="P40" s="92"/>
      <c r="Q40" s="108">
        <f t="shared" si="35"/>
        <v>-3.39</v>
      </c>
      <c r="R40" s="108">
        <f t="shared" si="35"/>
        <v>-84.51</v>
      </c>
      <c r="S40" s="80">
        <v>6.78</v>
      </c>
      <c r="T40" s="80">
        <v>162.6</v>
      </c>
      <c r="U40" s="94">
        <v>6.78</v>
      </c>
      <c r="V40" s="94">
        <v>169.02</v>
      </c>
      <c r="W40" s="101"/>
      <c r="X40" s="101"/>
      <c r="Y40" s="112"/>
      <c r="Z40" s="112"/>
      <c r="AA40" s="78">
        <f t="shared" si="64"/>
        <v>0</v>
      </c>
      <c r="AB40" s="78">
        <f t="shared" si="64"/>
        <v>-6.4200000000000159</v>
      </c>
      <c r="AC40" s="94"/>
      <c r="AD40" s="94"/>
      <c r="AE40" s="129"/>
      <c r="AF40" s="129"/>
      <c r="AG40" s="112">
        <f t="shared" si="69"/>
        <v>0</v>
      </c>
      <c r="AH40" s="112">
        <f t="shared" si="70"/>
        <v>0</v>
      </c>
      <c r="AI40" s="94">
        <f t="shared" si="79"/>
        <v>6.78</v>
      </c>
      <c r="AJ40" s="94">
        <f t="shared" si="80"/>
        <v>169.02</v>
      </c>
      <c r="AK40" s="128">
        <f t="shared" si="81"/>
        <v>0</v>
      </c>
      <c r="AL40" s="128">
        <f t="shared" si="82"/>
        <v>0</v>
      </c>
      <c r="AM40" s="112">
        <f t="shared" si="71"/>
        <v>-6.78</v>
      </c>
      <c r="AN40" s="112">
        <f t="shared" si="72"/>
        <v>-169.02</v>
      </c>
      <c r="AO40" s="94"/>
      <c r="AP40" s="94"/>
      <c r="AQ40" s="129"/>
      <c r="AR40" s="129"/>
      <c r="AS40" s="112">
        <f t="shared" si="73"/>
        <v>0</v>
      </c>
      <c r="AT40" s="112">
        <f t="shared" si="74"/>
        <v>0</v>
      </c>
      <c r="AU40" s="94">
        <v>6.78</v>
      </c>
      <c r="AV40" s="94">
        <v>169.02</v>
      </c>
      <c r="AW40" s="128"/>
      <c r="AX40" s="128"/>
      <c r="AY40" s="112">
        <f t="shared" si="77"/>
        <v>-6.78</v>
      </c>
      <c r="AZ40" s="231">
        <f t="shared" si="78"/>
        <v>-169.02</v>
      </c>
      <c r="BA40" s="216">
        <v>13.5</v>
      </c>
    </row>
    <row r="41" spans="1:53" ht="16.5" thickBot="1" x14ac:dyDescent="0.3">
      <c r="A41" s="327" t="s">
        <v>165</v>
      </c>
      <c r="B41" s="328"/>
      <c r="C41" s="82">
        <v>3.42</v>
      </c>
      <c r="D41" s="83">
        <v>78.900000000000006</v>
      </c>
      <c r="E41" s="90"/>
      <c r="F41" s="90"/>
      <c r="G41" s="94">
        <f t="shared" si="32"/>
        <v>-3.42</v>
      </c>
      <c r="H41" s="94">
        <f t="shared" si="33"/>
        <v>-78.900000000000006</v>
      </c>
      <c r="I41" s="97"/>
      <c r="J41" s="97"/>
      <c r="K41" s="100">
        <f t="shared" si="54"/>
        <v>-3.42</v>
      </c>
      <c r="L41" s="100">
        <f t="shared" si="55"/>
        <v>-78.900000000000006</v>
      </c>
      <c r="M41" s="103">
        <v>21.25</v>
      </c>
      <c r="N41" s="104">
        <v>529.77</v>
      </c>
      <c r="O41" s="92"/>
      <c r="P41" s="92"/>
      <c r="Q41" s="108">
        <f t="shared" si="35"/>
        <v>-21.25</v>
      </c>
      <c r="R41" s="108">
        <f t="shared" si="35"/>
        <v>-529.77</v>
      </c>
      <c r="S41" s="80">
        <v>6.84</v>
      </c>
      <c r="T41" s="80">
        <v>148.43</v>
      </c>
      <c r="U41" s="94">
        <v>24.67</v>
      </c>
      <c r="V41" s="94">
        <v>608.66999999999996</v>
      </c>
      <c r="W41" s="101"/>
      <c r="X41" s="101"/>
      <c r="Y41" s="112"/>
      <c r="Z41" s="112"/>
      <c r="AA41" s="78">
        <f t="shared" si="64"/>
        <v>-17.830000000000002</v>
      </c>
      <c r="AB41" s="78">
        <f t="shared" si="64"/>
        <v>-460.23999999999995</v>
      </c>
      <c r="AC41" s="94"/>
      <c r="AD41" s="94"/>
      <c r="AE41" s="129"/>
      <c r="AF41" s="129"/>
      <c r="AG41" s="112">
        <f t="shared" si="69"/>
        <v>0</v>
      </c>
      <c r="AH41" s="112">
        <f t="shared" si="70"/>
        <v>0</v>
      </c>
      <c r="AI41" s="94">
        <f t="shared" si="79"/>
        <v>24.67</v>
      </c>
      <c r="AJ41" s="94">
        <f t="shared" si="80"/>
        <v>608.66999999999996</v>
      </c>
      <c r="AK41" s="128">
        <f t="shared" si="81"/>
        <v>0</v>
      </c>
      <c r="AL41" s="128">
        <f t="shared" si="82"/>
        <v>0</v>
      </c>
      <c r="AM41" s="112">
        <f t="shared" si="71"/>
        <v>-24.67</v>
      </c>
      <c r="AN41" s="112">
        <f t="shared" si="72"/>
        <v>-608.66999999999996</v>
      </c>
      <c r="AO41" s="94"/>
      <c r="AP41" s="94"/>
      <c r="AQ41" s="129"/>
      <c r="AR41" s="129"/>
      <c r="AS41" s="112">
        <f t="shared" si="73"/>
        <v>0</v>
      </c>
      <c r="AT41" s="112">
        <f t="shared" si="74"/>
        <v>0</v>
      </c>
      <c r="AU41" s="94">
        <v>24.67</v>
      </c>
      <c r="AV41" s="94">
        <v>608.66999999999996</v>
      </c>
      <c r="AW41" s="128"/>
      <c r="AX41" s="128"/>
      <c r="AY41" s="112">
        <f t="shared" si="77"/>
        <v>-24.67</v>
      </c>
      <c r="AZ41" s="231">
        <f t="shared" si="78"/>
        <v>-608.66999999999996</v>
      </c>
      <c r="BA41" s="216">
        <v>13.7</v>
      </c>
    </row>
    <row r="42" spans="1:53" ht="16.5" thickBot="1" x14ac:dyDescent="0.3">
      <c r="A42" s="327" t="s">
        <v>166</v>
      </c>
      <c r="B42" s="328"/>
      <c r="C42" s="82">
        <v>3.6</v>
      </c>
      <c r="D42" s="83">
        <v>89.76</v>
      </c>
      <c r="E42" s="90"/>
      <c r="F42" s="90"/>
      <c r="G42" s="94">
        <f t="shared" si="32"/>
        <v>-3.6</v>
      </c>
      <c r="H42" s="94">
        <f t="shared" si="33"/>
        <v>-89.76</v>
      </c>
      <c r="I42" s="97">
        <v>3.6</v>
      </c>
      <c r="J42" s="97">
        <v>86.34</v>
      </c>
      <c r="K42" s="100">
        <f t="shared" si="54"/>
        <v>0</v>
      </c>
      <c r="L42" s="100">
        <f t="shared" si="55"/>
        <v>-3.4200000000000017</v>
      </c>
      <c r="M42" s="103">
        <v>3.6</v>
      </c>
      <c r="N42" s="104">
        <v>89.76</v>
      </c>
      <c r="O42" s="92"/>
      <c r="P42" s="92"/>
      <c r="Q42" s="108">
        <f t="shared" si="35"/>
        <v>-3.6</v>
      </c>
      <c r="R42" s="108">
        <f t="shared" si="35"/>
        <v>-89.76</v>
      </c>
      <c r="S42" s="80">
        <v>7.2</v>
      </c>
      <c r="T42" s="80">
        <v>172.68</v>
      </c>
      <c r="U42" s="94">
        <v>7.2</v>
      </c>
      <c r="V42" s="94">
        <v>179.52</v>
      </c>
      <c r="W42" s="101"/>
      <c r="X42" s="101"/>
      <c r="Y42" s="112"/>
      <c r="Z42" s="112"/>
      <c r="AA42" s="78">
        <f t="shared" si="64"/>
        <v>0</v>
      </c>
      <c r="AB42" s="78">
        <f t="shared" si="64"/>
        <v>-6.8400000000000034</v>
      </c>
      <c r="AC42" s="94"/>
      <c r="AD42" s="94"/>
      <c r="AE42" s="129"/>
      <c r="AF42" s="129"/>
      <c r="AG42" s="112">
        <f t="shared" si="69"/>
        <v>0</v>
      </c>
      <c r="AH42" s="112">
        <f t="shared" si="70"/>
        <v>0</v>
      </c>
      <c r="AI42" s="94">
        <f t="shared" si="79"/>
        <v>7.2</v>
      </c>
      <c r="AJ42" s="94">
        <f t="shared" si="80"/>
        <v>179.52</v>
      </c>
      <c r="AK42" s="128">
        <f t="shared" si="81"/>
        <v>0</v>
      </c>
      <c r="AL42" s="128">
        <f t="shared" si="82"/>
        <v>0</v>
      </c>
      <c r="AM42" s="112">
        <f t="shared" si="71"/>
        <v>-7.2</v>
      </c>
      <c r="AN42" s="112">
        <f t="shared" si="72"/>
        <v>-179.52</v>
      </c>
      <c r="AO42" s="94"/>
      <c r="AP42" s="94"/>
      <c r="AQ42" s="129"/>
      <c r="AR42" s="129"/>
      <c r="AS42" s="112">
        <f t="shared" si="73"/>
        <v>0</v>
      </c>
      <c r="AT42" s="112">
        <f t="shared" si="74"/>
        <v>0</v>
      </c>
      <c r="AU42" s="94">
        <v>7.2</v>
      </c>
      <c r="AV42" s="94">
        <v>179.52</v>
      </c>
      <c r="AW42" s="128"/>
      <c r="AX42" s="128"/>
      <c r="AY42" s="112">
        <f t="shared" si="77"/>
        <v>-7.2</v>
      </c>
      <c r="AZ42" s="231">
        <f t="shared" si="78"/>
        <v>-179.52</v>
      </c>
      <c r="BA42" s="216">
        <v>14.3</v>
      </c>
    </row>
    <row r="43" spans="1:53" s="138" customFormat="1" ht="16.5" thickBot="1" x14ac:dyDescent="0.3">
      <c r="A43" s="134" t="s">
        <v>167</v>
      </c>
      <c r="B43" s="135"/>
      <c r="C43" s="136">
        <f>SUM(C39:C42)</f>
        <v>13.86</v>
      </c>
      <c r="D43" s="136">
        <f>SUM(D39:D42)</f>
        <v>339.18</v>
      </c>
      <c r="E43" s="136">
        <v>17.75</v>
      </c>
      <c r="F43" s="136">
        <v>450</v>
      </c>
      <c r="G43" s="137">
        <f t="shared" si="32"/>
        <v>3.8900000000000006</v>
      </c>
      <c r="H43" s="137">
        <f t="shared" si="33"/>
        <v>110.82</v>
      </c>
      <c r="I43" s="137">
        <v>10.44</v>
      </c>
      <c r="J43" s="137">
        <v>250.38</v>
      </c>
      <c r="K43" s="137">
        <f t="shared" si="54"/>
        <v>-3.42</v>
      </c>
      <c r="L43" s="137">
        <f t="shared" si="55"/>
        <v>-88.800000000000011</v>
      </c>
      <c r="M43" s="136">
        <f>SUM(M39:M42)</f>
        <v>31.69</v>
      </c>
      <c r="N43" s="136">
        <f>SUM(N39:N42)</f>
        <v>790.05</v>
      </c>
      <c r="O43" s="136">
        <v>17.75</v>
      </c>
      <c r="P43" s="136">
        <v>450</v>
      </c>
      <c r="Q43" s="137">
        <f t="shared" si="35"/>
        <v>-13.940000000000001</v>
      </c>
      <c r="R43" s="137">
        <f t="shared" si="35"/>
        <v>-340.04999999999995</v>
      </c>
      <c r="S43" s="137">
        <v>27.72</v>
      </c>
      <c r="T43" s="137">
        <v>649.19000000000005</v>
      </c>
      <c r="U43" s="137">
        <v>27.72</v>
      </c>
      <c r="V43" s="137">
        <v>678.36</v>
      </c>
      <c r="W43" s="136">
        <v>35.5</v>
      </c>
      <c r="X43" s="136">
        <v>900</v>
      </c>
      <c r="Y43" s="137">
        <f>W43-U43</f>
        <v>7.7800000000000011</v>
      </c>
      <c r="Z43" s="137">
        <f>X43-V43</f>
        <v>221.64</v>
      </c>
      <c r="AA43" s="137">
        <f t="shared" si="64"/>
        <v>0</v>
      </c>
      <c r="AB43" s="137">
        <f t="shared" si="64"/>
        <v>-29.169999999999959</v>
      </c>
      <c r="AC43" s="137"/>
      <c r="AD43" s="137"/>
      <c r="AE43" s="136">
        <v>17.75</v>
      </c>
      <c r="AF43" s="136">
        <v>450</v>
      </c>
      <c r="AG43" s="137">
        <f t="shared" si="69"/>
        <v>17.75</v>
      </c>
      <c r="AH43" s="137">
        <f t="shared" si="70"/>
        <v>450</v>
      </c>
      <c r="AI43" s="137"/>
      <c r="AJ43" s="137"/>
      <c r="AK43" s="136">
        <v>17.75</v>
      </c>
      <c r="AL43" s="136">
        <v>450</v>
      </c>
      <c r="AM43" s="137">
        <f t="shared" si="71"/>
        <v>17.75</v>
      </c>
      <c r="AN43" s="137">
        <f t="shared" si="72"/>
        <v>450</v>
      </c>
      <c r="AO43" s="137"/>
      <c r="AP43" s="137"/>
      <c r="AQ43" s="136">
        <v>17.75</v>
      </c>
      <c r="AR43" s="136">
        <v>450</v>
      </c>
      <c r="AS43" s="137">
        <f t="shared" si="73"/>
        <v>17.75</v>
      </c>
      <c r="AT43" s="137">
        <f t="shared" si="74"/>
        <v>450</v>
      </c>
      <c r="AU43" s="137">
        <v>46.55</v>
      </c>
      <c r="AV43" s="137">
        <v>1152.3</v>
      </c>
      <c r="AW43" s="136">
        <v>71</v>
      </c>
      <c r="AX43" s="136">
        <v>1800</v>
      </c>
      <c r="AY43" s="137">
        <f t="shared" si="77"/>
        <v>24.450000000000003</v>
      </c>
      <c r="AZ43" s="234">
        <f t="shared" si="78"/>
        <v>647.70000000000005</v>
      </c>
      <c r="BA43" s="226">
        <v>55.16</v>
      </c>
    </row>
    <row r="44" spans="1:53" s="36" customFormat="1" ht="16.5" thickBot="1" x14ac:dyDescent="0.3">
      <c r="A44" s="326" t="s">
        <v>168</v>
      </c>
      <c r="B44" s="329"/>
      <c r="C44" s="132">
        <f>C38+C43</f>
        <v>104.66</v>
      </c>
      <c r="D44" s="132">
        <f>D38+D43</f>
        <v>2669.64</v>
      </c>
      <c r="E44" s="132">
        <v>122.75</v>
      </c>
      <c r="F44" s="132">
        <v>3000</v>
      </c>
      <c r="G44" s="133">
        <f t="shared" si="32"/>
        <v>18.090000000000003</v>
      </c>
      <c r="H44" s="133">
        <f t="shared" si="33"/>
        <v>330.36000000000013</v>
      </c>
      <c r="I44" s="133">
        <f>SUM(I38+I43)</f>
        <v>79.09</v>
      </c>
      <c r="J44" s="133">
        <f>SUM(J38+J43)</f>
        <v>1797.38</v>
      </c>
      <c r="K44" s="133">
        <f t="shared" si="54"/>
        <v>-25.569999999999993</v>
      </c>
      <c r="L44" s="133">
        <f t="shared" si="55"/>
        <v>-872.25999999999976</v>
      </c>
      <c r="M44" s="132">
        <f>M38+M43</f>
        <v>119.49</v>
      </c>
      <c r="N44" s="132">
        <f>N38+N43</f>
        <v>2978.2300000000005</v>
      </c>
      <c r="O44" s="132">
        <v>122.75</v>
      </c>
      <c r="P44" s="132">
        <v>3000</v>
      </c>
      <c r="Q44" s="133">
        <f t="shared" si="35"/>
        <v>3.2600000000000051</v>
      </c>
      <c r="R44" s="133">
        <f t="shared" si="35"/>
        <v>21.769999999999527</v>
      </c>
      <c r="S44" s="133">
        <v>200.92</v>
      </c>
      <c r="T44" s="133">
        <v>4735.3500000000004</v>
      </c>
      <c r="U44" s="133">
        <f>SUM(U38+U43)</f>
        <v>208.42</v>
      </c>
      <c r="V44" s="133">
        <f>SUM(V38+V43)</f>
        <v>5339.28</v>
      </c>
      <c r="W44" s="132">
        <f>SUM(W32:W43)</f>
        <v>245.5</v>
      </c>
      <c r="X44" s="132">
        <f>SUM(X32:X43)</f>
        <v>6250</v>
      </c>
      <c r="Y44" s="133">
        <f>W44-U44</f>
        <v>37.080000000000013</v>
      </c>
      <c r="Z44" s="133">
        <f>X44-V44</f>
        <v>910.72000000000025</v>
      </c>
      <c r="AA44" s="133">
        <f t="shared" si="64"/>
        <v>-7.5</v>
      </c>
      <c r="AB44" s="133">
        <f t="shared" si="64"/>
        <v>-603.92999999999938</v>
      </c>
      <c r="AC44" s="133">
        <f>SUM(AC38+AC43)</f>
        <v>0</v>
      </c>
      <c r="AD44" s="133">
        <f>SUM(AD38+AD43)</f>
        <v>0</v>
      </c>
      <c r="AE44" s="132">
        <v>122.75</v>
      </c>
      <c r="AF44" s="132">
        <v>3000</v>
      </c>
      <c r="AG44" s="133">
        <f>AE44-AC44</f>
        <v>122.75</v>
      </c>
      <c r="AH44" s="133">
        <f>AF44-AD44</f>
        <v>3000</v>
      </c>
      <c r="AI44" s="133">
        <f>SUM(AI38+AI43)</f>
        <v>0</v>
      </c>
      <c r="AJ44" s="133">
        <f>SUM(AJ38+AJ43)</f>
        <v>0</v>
      </c>
      <c r="AK44" s="132">
        <v>122.75</v>
      </c>
      <c r="AL44" s="132">
        <v>3000</v>
      </c>
      <c r="AM44" s="133">
        <f>AK44-AI44</f>
        <v>122.75</v>
      </c>
      <c r="AN44" s="133">
        <f>AL44-AJ44</f>
        <v>3000</v>
      </c>
      <c r="AO44" s="133">
        <f>SUM(AO38+AO43)</f>
        <v>0</v>
      </c>
      <c r="AP44" s="133">
        <f>SUM(AP38+AP43)</f>
        <v>0</v>
      </c>
      <c r="AQ44" s="132">
        <v>122.75</v>
      </c>
      <c r="AR44" s="132">
        <v>3000</v>
      </c>
      <c r="AS44" s="133">
        <f>AQ44-AO44</f>
        <v>122.75</v>
      </c>
      <c r="AT44" s="133">
        <f>AR44-AP44</f>
        <v>3000</v>
      </c>
      <c r="AU44" s="133">
        <f>SUM(AU38+AU43)</f>
        <v>239.64999999999998</v>
      </c>
      <c r="AV44" s="133">
        <f>SUM(AV38+AV43)</f>
        <v>6043.24</v>
      </c>
      <c r="AW44" s="132">
        <v>491</v>
      </c>
      <c r="AX44" s="132">
        <v>12500</v>
      </c>
      <c r="AY44" s="133">
        <f>AW44-AU44</f>
        <v>251.35000000000002</v>
      </c>
      <c r="AZ44" s="232">
        <f>AX44-AV44</f>
        <v>6456.76</v>
      </c>
      <c r="BA44" s="217">
        <v>427.16</v>
      </c>
    </row>
    <row r="45" spans="1:53" ht="15.75" customHeight="1" thickBot="1" x14ac:dyDescent="0.3">
      <c r="A45" s="327" t="s">
        <v>29</v>
      </c>
      <c r="B45" s="328"/>
      <c r="C45" s="82">
        <v>7.5</v>
      </c>
      <c r="D45" s="83">
        <v>186.99</v>
      </c>
      <c r="E45" s="90">
        <v>7.75</v>
      </c>
      <c r="F45" s="90">
        <v>200</v>
      </c>
      <c r="G45" s="94">
        <f t="shared" si="32"/>
        <v>0.25</v>
      </c>
      <c r="H45" s="94">
        <f t="shared" si="33"/>
        <v>13.009999999999991</v>
      </c>
      <c r="I45" s="97">
        <v>7.5</v>
      </c>
      <c r="J45" s="97">
        <v>179.85</v>
      </c>
      <c r="K45" s="100">
        <f t="shared" si="54"/>
        <v>0</v>
      </c>
      <c r="L45" s="100">
        <f t="shared" si="55"/>
        <v>-7.1400000000000148</v>
      </c>
      <c r="M45" s="103">
        <v>7.5</v>
      </c>
      <c r="N45" s="104">
        <v>186.99</v>
      </c>
      <c r="O45" s="92">
        <v>7.75</v>
      </c>
      <c r="P45" s="92">
        <v>200</v>
      </c>
      <c r="Q45" s="108">
        <f t="shared" si="35"/>
        <v>0.25</v>
      </c>
      <c r="R45" s="108">
        <f t="shared" si="35"/>
        <v>13.009999999999991</v>
      </c>
      <c r="S45" s="80">
        <v>15</v>
      </c>
      <c r="T45" s="80">
        <v>366.84</v>
      </c>
      <c r="U45" s="94">
        <v>15</v>
      </c>
      <c r="V45" s="94">
        <v>373.98</v>
      </c>
      <c r="W45" s="101">
        <v>15.5</v>
      </c>
      <c r="X45" s="101">
        <v>400</v>
      </c>
      <c r="Y45" s="112">
        <f>X45-V45</f>
        <v>26.019999999999982</v>
      </c>
      <c r="Z45" s="112">
        <f>W45-U45</f>
        <v>0.5</v>
      </c>
      <c r="AA45" s="78">
        <f t="shared" si="64"/>
        <v>0</v>
      </c>
      <c r="AB45" s="78">
        <f t="shared" si="64"/>
        <v>-7.1400000000000432</v>
      </c>
      <c r="AC45" s="94"/>
      <c r="AD45" s="94"/>
      <c r="AE45" s="129">
        <v>7.75</v>
      </c>
      <c r="AF45" s="129">
        <v>200</v>
      </c>
      <c r="AG45" s="112">
        <f t="shared" ref="AG45:AG52" si="83">AE45-AC45</f>
        <v>7.75</v>
      </c>
      <c r="AH45" s="112">
        <f t="shared" ref="AH45:AH52" si="84">AF45-AD45</f>
        <v>200</v>
      </c>
      <c r="AI45" s="94">
        <f t="shared" ref="AI45:AI52" si="85">U45+AC45</f>
        <v>15</v>
      </c>
      <c r="AJ45" s="94">
        <f t="shared" ref="AJ45:AJ52" si="86">V45+AD45</f>
        <v>373.98</v>
      </c>
      <c r="AK45" s="128">
        <f t="shared" ref="AK45:AK52" si="87">W45+AE45</f>
        <v>23.25</v>
      </c>
      <c r="AL45" s="128">
        <f t="shared" ref="AL45:AL52" si="88">X45+AF45</f>
        <v>600</v>
      </c>
      <c r="AM45" s="112">
        <f t="shared" ref="AM45:AM53" si="89">AK45-AI45</f>
        <v>8.25</v>
      </c>
      <c r="AN45" s="112">
        <f t="shared" ref="AN45:AN53" si="90">AL45-AJ45</f>
        <v>226.01999999999998</v>
      </c>
      <c r="AO45" s="94"/>
      <c r="AP45" s="94"/>
      <c r="AQ45" s="129">
        <v>7.75</v>
      </c>
      <c r="AR45" s="129">
        <v>200</v>
      </c>
      <c r="AS45" s="112">
        <f t="shared" ref="AS45:AS53" si="91">AQ45-AO45</f>
        <v>7.75</v>
      </c>
      <c r="AT45" s="112">
        <f t="shared" ref="AT45:AT53" si="92">AR45-AP45</f>
        <v>200</v>
      </c>
      <c r="AU45" s="94">
        <v>15</v>
      </c>
      <c r="AV45" s="94">
        <v>373.98</v>
      </c>
      <c r="AW45" s="128">
        <v>31</v>
      </c>
      <c r="AX45" s="128">
        <v>800</v>
      </c>
      <c r="AY45" s="112">
        <f t="shared" ref="AY45:AY53" si="93">AW45-AU45</f>
        <v>16</v>
      </c>
      <c r="AZ45" s="231">
        <f t="shared" ref="AZ45:AZ53" si="94">AX45-AV45</f>
        <v>426.02</v>
      </c>
      <c r="BA45" s="216">
        <v>30.2</v>
      </c>
    </row>
    <row r="46" spans="1:53" ht="16.5" thickBot="1" x14ac:dyDescent="0.3">
      <c r="A46" s="327" t="s">
        <v>31</v>
      </c>
      <c r="B46" s="328"/>
      <c r="C46" s="85">
        <v>6</v>
      </c>
      <c r="D46" s="83">
        <v>149.58000000000001</v>
      </c>
      <c r="E46" s="90">
        <v>17.5</v>
      </c>
      <c r="F46" s="90">
        <v>450</v>
      </c>
      <c r="G46" s="94">
        <f t="shared" si="32"/>
        <v>11.5</v>
      </c>
      <c r="H46" s="94">
        <f t="shared" si="33"/>
        <v>300.41999999999996</v>
      </c>
      <c r="I46" s="97">
        <v>4</v>
      </c>
      <c r="J46" s="97">
        <v>95.92</v>
      </c>
      <c r="K46" s="100">
        <f t="shared" si="54"/>
        <v>-2</v>
      </c>
      <c r="L46" s="100">
        <f t="shared" si="55"/>
        <v>-53.660000000000011</v>
      </c>
      <c r="M46" s="106">
        <v>12</v>
      </c>
      <c r="N46" s="104">
        <v>299.16000000000003</v>
      </c>
      <c r="O46" s="92">
        <v>17.5</v>
      </c>
      <c r="P46" s="92">
        <v>450</v>
      </c>
      <c r="Q46" s="108">
        <f t="shared" si="35"/>
        <v>5.5</v>
      </c>
      <c r="R46" s="108">
        <f t="shared" si="35"/>
        <v>150.83999999999997</v>
      </c>
      <c r="S46" s="80">
        <v>42</v>
      </c>
      <c r="T46" s="80">
        <v>911.24</v>
      </c>
      <c r="U46" s="94">
        <v>18</v>
      </c>
      <c r="V46" s="94">
        <v>448.74</v>
      </c>
      <c r="W46" s="101">
        <v>15</v>
      </c>
      <c r="X46" s="101">
        <v>400</v>
      </c>
      <c r="Y46" s="112">
        <f>X46-V46</f>
        <v>-48.740000000000009</v>
      </c>
      <c r="Z46" s="112">
        <f t="shared" ref="Z46:Z53" si="95">X46-V46</f>
        <v>-48.740000000000009</v>
      </c>
      <c r="AA46" s="78">
        <f t="shared" si="64"/>
        <v>24</v>
      </c>
      <c r="AB46" s="78">
        <f t="shared" si="64"/>
        <v>462.5</v>
      </c>
      <c r="AC46" s="94"/>
      <c r="AD46" s="94"/>
      <c r="AE46" s="129">
        <v>17.5</v>
      </c>
      <c r="AF46" s="129">
        <v>450</v>
      </c>
      <c r="AG46" s="112">
        <f t="shared" si="83"/>
        <v>17.5</v>
      </c>
      <c r="AH46" s="112">
        <f t="shared" si="84"/>
        <v>450</v>
      </c>
      <c r="AI46" s="94">
        <f t="shared" si="85"/>
        <v>18</v>
      </c>
      <c r="AJ46" s="94">
        <f t="shared" si="86"/>
        <v>448.74</v>
      </c>
      <c r="AK46" s="128">
        <f t="shared" si="87"/>
        <v>32.5</v>
      </c>
      <c r="AL46" s="128">
        <f t="shared" si="88"/>
        <v>850</v>
      </c>
      <c r="AM46" s="112">
        <f t="shared" si="89"/>
        <v>14.5</v>
      </c>
      <c r="AN46" s="112">
        <f t="shared" si="90"/>
        <v>401.26</v>
      </c>
      <c r="AO46" s="94"/>
      <c r="AP46" s="94"/>
      <c r="AQ46" s="129">
        <v>17.5</v>
      </c>
      <c r="AR46" s="129">
        <v>450</v>
      </c>
      <c r="AS46" s="112">
        <f t="shared" si="91"/>
        <v>17.5</v>
      </c>
      <c r="AT46" s="112">
        <f t="shared" si="92"/>
        <v>450</v>
      </c>
      <c r="AU46" s="94">
        <v>18</v>
      </c>
      <c r="AV46" s="94">
        <v>448.74</v>
      </c>
      <c r="AW46" s="128">
        <v>70</v>
      </c>
      <c r="AX46" s="128">
        <v>1800</v>
      </c>
      <c r="AY46" s="112">
        <f t="shared" si="93"/>
        <v>52</v>
      </c>
      <c r="AZ46" s="231">
        <f t="shared" si="94"/>
        <v>1351.26</v>
      </c>
      <c r="BA46" s="216">
        <v>62</v>
      </c>
    </row>
    <row r="47" spans="1:53" ht="16.5" thickBot="1" x14ac:dyDescent="0.3">
      <c r="A47" s="327" t="s">
        <v>169</v>
      </c>
      <c r="B47" s="328"/>
      <c r="C47" s="82"/>
      <c r="D47" s="83"/>
      <c r="E47" s="90">
        <v>5</v>
      </c>
      <c r="F47" s="90">
        <v>125</v>
      </c>
      <c r="G47" s="94">
        <f t="shared" si="32"/>
        <v>5</v>
      </c>
      <c r="H47" s="94">
        <f t="shared" si="33"/>
        <v>125</v>
      </c>
      <c r="I47" s="97"/>
      <c r="J47" s="97"/>
      <c r="K47" s="100"/>
      <c r="L47" s="100"/>
      <c r="M47" s="103"/>
      <c r="N47" s="104"/>
      <c r="O47" s="92">
        <v>5</v>
      </c>
      <c r="P47" s="92">
        <v>125</v>
      </c>
      <c r="Q47" s="108">
        <f t="shared" si="35"/>
        <v>5</v>
      </c>
      <c r="R47" s="108">
        <f t="shared" si="35"/>
        <v>125</v>
      </c>
      <c r="S47" s="80">
        <v>0</v>
      </c>
      <c r="T47" s="80">
        <v>0</v>
      </c>
      <c r="U47" s="94"/>
      <c r="V47" s="94"/>
      <c r="W47" s="101">
        <v>10</v>
      </c>
      <c r="X47" s="101">
        <v>250</v>
      </c>
      <c r="Y47" s="112">
        <f t="shared" ref="Y47:Y53" si="96">W47-U47</f>
        <v>10</v>
      </c>
      <c r="Z47" s="112">
        <f t="shared" si="95"/>
        <v>250</v>
      </c>
      <c r="AA47" s="78">
        <v>0</v>
      </c>
      <c r="AB47" s="78">
        <v>0</v>
      </c>
      <c r="AC47" s="94"/>
      <c r="AD47" s="94"/>
      <c r="AE47" s="129">
        <v>5</v>
      </c>
      <c r="AF47" s="129">
        <v>125</v>
      </c>
      <c r="AG47" s="112">
        <f t="shared" si="83"/>
        <v>5</v>
      </c>
      <c r="AH47" s="112">
        <f t="shared" si="84"/>
        <v>125</v>
      </c>
      <c r="AI47" s="94">
        <f t="shared" si="85"/>
        <v>0</v>
      </c>
      <c r="AJ47" s="94">
        <f t="shared" si="86"/>
        <v>0</v>
      </c>
      <c r="AK47" s="128">
        <f t="shared" si="87"/>
        <v>15</v>
      </c>
      <c r="AL47" s="128">
        <f t="shared" si="88"/>
        <v>375</v>
      </c>
      <c r="AM47" s="112">
        <f t="shared" si="89"/>
        <v>15</v>
      </c>
      <c r="AN47" s="112">
        <f t="shared" si="90"/>
        <v>375</v>
      </c>
      <c r="AO47" s="94"/>
      <c r="AP47" s="94"/>
      <c r="AQ47" s="129">
        <v>5</v>
      </c>
      <c r="AR47" s="129">
        <v>125</v>
      </c>
      <c r="AS47" s="112">
        <f t="shared" si="91"/>
        <v>5</v>
      </c>
      <c r="AT47" s="112">
        <f t="shared" si="92"/>
        <v>125</v>
      </c>
      <c r="AU47" s="94"/>
      <c r="AV47" s="94"/>
      <c r="AW47" s="128">
        <v>20</v>
      </c>
      <c r="AX47" s="128">
        <v>500</v>
      </c>
      <c r="AY47" s="112">
        <f t="shared" si="93"/>
        <v>20</v>
      </c>
      <c r="AZ47" s="231">
        <f t="shared" si="94"/>
        <v>500</v>
      </c>
      <c r="BA47" s="216">
        <v>0</v>
      </c>
    </row>
    <row r="48" spans="1:53" ht="16.5" thickBot="1" x14ac:dyDescent="0.3">
      <c r="A48" s="327" t="s">
        <v>43</v>
      </c>
      <c r="B48" s="328"/>
      <c r="C48" s="82">
        <v>9</v>
      </c>
      <c r="D48" s="83">
        <v>224.37</v>
      </c>
      <c r="E48" s="90">
        <v>8.75</v>
      </c>
      <c r="F48" s="90">
        <v>225</v>
      </c>
      <c r="G48" s="94">
        <f t="shared" si="32"/>
        <v>-0.25</v>
      </c>
      <c r="H48" s="94">
        <f t="shared" si="33"/>
        <v>0.62999999999999545</v>
      </c>
      <c r="I48" s="97">
        <v>7</v>
      </c>
      <c r="J48" s="97">
        <v>167.86</v>
      </c>
      <c r="K48" s="100">
        <f t="shared" ref="K48:L53" si="97">I48-C48</f>
        <v>-2</v>
      </c>
      <c r="L48" s="100">
        <f t="shared" si="97"/>
        <v>-56.509999999999991</v>
      </c>
      <c r="M48" s="103">
        <v>7</v>
      </c>
      <c r="N48" s="104">
        <v>174.51</v>
      </c>
      <c r="O48" s="92">
        <v>8.75</v>
      </c>
      <c r="P48" s="92">
        <v>225</v>
      </c>
      <c r="Q48" s="108">
        <f t="shared" si="35"/>
        <v>1.75</v>
      </c>
      <c r="R48" s="108">
        <f t="shared" si="35"/>
        <v>50.490000000000009</v>
      </c>
      <c r="S48" s="80">
        <v>16</v>
      </c>
      <c r="T48" s="80">
        <v>383.68</v>
      </c>
      <c r="U48" s="94">
        <v>16</v>
      </c>
      <c r="V48" s="94">
        <v>398.88</v>
      </c>
      <c r="W48" s="101">
        <v>17.5</v>
      </c>
      <c r="X48" s="101">
        <v>450</v>
      </c>
      <c r="Y48" s="112">
        <f t="shared" si="96"/>
        <v>1.5</v>
      </c>
      <c r="Z48" s="112">
        <f t="shared" si="95"/>
        <v>51.120000000000005</v>
      </c>
      <c r="AA48" s="78">
        <f t="shared" ref="AA48:AB52" si="98">S48-U48</f>
        <v>0</v>
      </c>
      <c r="AB48" s="78">
        <f t="shared" si="98"/>
        <v>-15.199999999999989</v>
      </c>
      <c r="AC48" s="94"/>
      <c r="AD48" s="94"/>
      <c r="AE48" s="129">
        <v>8.75</v>
      </c>
      <c r="AF48" s="129">
        <v>225</v>
      </c>
      <c r="AG48" s="112">
        <f t="shared" si="83"/>
        <v>8.75</v>
      </c>
      <c r="AH48" s="112">
        <f t="shared" si="84"/>
        <v>225</v>
      </c>
      <c r="AI48" s="94">
        <f t="shared" si="85"/>
        <v>16</v>
      </c>
      <c r="AJ48" s="94">
        <f t="shared" si="86"/>
        <v>398.88</v>
      </c>
      <c r="AK48" s="128">
        <f t="shared" si="87"/>
        <v>26.25</v>
      </c>
      <c r="AL48" s="128">
        <f t="shared" si="88"/>
        <v>675</v>
      </c>
      <c r="AM48" s="112">
        <f t="shared" si="89"/>
        <v>10.25</v>
      </c>
      <c r="AN48" s="112">
        <f t="shared" si="90"/>
        <v>276.12</v>
      </c>
      <c r="AO48" s="94">
        <v>8</v>
      </c>
      <c r="AP48" s="94">
        <v>207.76</v>
      </c>
      <c r="AQ48" s="129">
        <v>8.75</v>
      </c>
      <c r="AR48" s="129">
        <v>225</v>
      </c>
      <c r="AS48" s="112">
        <f t="shared" si="91"/>
        <v>0.75</v>
      </c>
      <c r="AT48" s="112">
        <f t="shared" si="92"/>
        <v>17.240000000000009</v>
      </c>
      <c r="AU48" s="94">
        <v>24</v>
      </c>
      <c r="AV48" s="94">
        <v>606.64</v>
      </c>
      <c r="AW48" s="128">
        <v>35</v>
      </c>
      <c r="AX48" s="128">
        <v>900</v>
      </c>
      <c r="AY48" s="112">
        <f t="shared" si="93"/>
        <v>11</v>
      </c>
      <c r="AZ48" s="231">
        <f t="shared" si="94"/>
        <v>293.36</v>
      </c>
      <c r="BA48" s="216">
        <v>35</v>
      </c>
    </row>
    <row r="49" spans="1:53" ht="16.5" thickBot="1" x14ac:dyDescent="0.3">
      <c r="A49" s="327" t="s">
        <v>96</v>
      </c>
      <c r="B49" s="328"/>
      <c r="C49" s="82">
        <v>77</v>
      </c>
      <c r="D49" s="83">
        <v>1919.61</v>
      </c>
      <c r="E49" s="90">
        <v>102.5</v>
      </c>
      <c r="F49" s="90">
        <v>2625</v>
      </c>
      <c r="G49" s="94">
        <f t="shared" si="32"/>
        <v>25.5</v>
      </c>
      <c r="H49" s="94">
        <f t="shared" si="33"/>
        <v>705.3900000000001</v>
      </c>
      <c r="I49" s="97">
        <v>83.6</v>
      </c>
      <c r="J49" s="97">
        <v>2004.74</v>
      </c>
      <c r="K49" s="100">
        <f t="shared" si="97"/>
        <v>6.5999999999999943</v>
      </c>
      <c r="L49" s="100">
        <f t="shared" si="97"/>
        <v>85.130000000000109</v>
      </c>
      <c r="M49" s="103">
        <v>79</v>
      </c>
      <c r="N49" s="104">
        <v>1969.45</v>
      </c>
      <c r="O49" s="92">
        <v>102.5</v>
      </c>
      <c r="P49" s="92">
        <v>2625</v>
      </c>
      <c r="Q49" s="108">
        <f t="shared" si="35"/>
        <v>23.5</v>
      </c>
      <c r="R49" s="108">
        <f t="shared" si="35"/>
        <v>655.55</v>
      </c>
      <c r="S49" s="80">
        <v>181.3</v>
      </c>
      <c r="T49" s="80">
        <v>4347.59</v>
      </c>
      <c r="U49" s="94">
        <v>156</v>
      </c>
      <c r="V49" s="94">
        <v>3889.06</v>
      </c>
      <c r="W49" s="101">
        <v>205</v>
      </c>
      <c r="X49" s="101">
        <v>5250</v>
      </c>
      <c r="Y49" s="112">
        <f t="shared" si="96"/>
        <v>49</v>
      </c>
      <c r="Z49" s="112">
        <f t="shared" si="95"/>
        <v>1360.94</v>
      </c>
      <c r="AA49" s="78">
        <f t="shared" si="98"/>
        <v>25.300000000000011</v>
      </c>
      <c r="AB49" s="78">
        <f t="shared" si="98"/>
        <v>458.5300000000002</v>
      </c>
      <c r="AC49" s="94"/>
      <c r="AD49" s="94"/>
      <c r="AE49" s="129">
        <v>102.5</v>
      </c>
      <c r="AF49" s="129">
        <v>2625</v>
      </c>
      <c r="AG49" s="112">
        <f t="shared" si="83"/>
        <v>102.5</v>
      </c>
      <c r="AH49" s="112">
        <f t="shared" si="84"/>
        <v>2625</v>
      </c>
      <c r="AI49" s="94">
        <f t="shared" si="85"/>
        <v>156</v>
      </c>
      <c r="AJ49" s="94">
        <f t="shared" si="86"/>
        <v>3889.06</v>
      </c>
      <c r="AK49" s="128">
        <f t="shared" si="87"/>
        <v>307.5</v>
      </c>
      <c r="AL49" s="128">
        <f t="shared" si="88"/>
        <v>7875</v>
      </c>
      <c r="AM49" s="112">
        <f t="shared" si="89"/>
        <v>151.5</v>
      </c>
      <c r="AN49" s="112">
        <f t="shared" si="90"/>
        <v>3985.94</v>
      </c>
      <c r="AO49" s="94">
        <v>87</v>
      </c>
      <c r="AP49" s="94">
        <v>2259.39</v>
      </c>
      <c r="AQ49" s="129">
        <v>102.5</v>
      </c>
      <c r="AR49" s="129">
        <v>2625</v>
      </c>
      <c r="AS49" s="112">
        <f t="shared" si="91"/>
        <v>15.5</v>
      </c>
      <c r="AT49" s="112">
        <f t="shared" si="92"/>
        <v>365.61000000000013</v>
      </c>
      <c r="AU49" s="94">
        <v>243</v>
      </c>
      <c r="AV49" s="94">
        <v>6148.45</v>
      </c>
      <c r="AW49" s="128">
        <v>150</v>
      </c>
      <c r="AX49" s="128">
        <v>13500</v>
      </c>
      <c r="AY49" s="112">
        <f t="shared" si="93"/>
        <v>-93</v>
      </c>
      <c r="AZ49" s="231">
        <f t="shared" si="94"/>
        <v>7351.55</v>
      </c>
      <c r="BA49" s="216">
        <v>350.3</v>
      </c>
    </row>
    <row r="50" spans="1:53" ht="16.5" thickBot="1" x14ac:dyDescent="0.3">
      <c r="A50" s="327" t="s">
        <v>94</v>
      </c>
      <c r="B50" s="328"/>
      <c r="C50" s="82">
        <v>5.91</v>
      </c>
      <c r="D50" s="83">
        <v>323</v>
      </c>
      <c r="E50" s="90">
        <v>25</v>
      </c>
      <c r="F50" s="90">
        <v>650</v>
      </c>
      <c r="G50" s="94">
        <f t="shared" si="32"/>
        <v>19.09</v>
      </c>
      <c r="H50" s="94">
        <f t="shared" si="33"/>
        <v>327</v>
      </c>
      <c r="I50" s="97">
        <v>45.24</v>
      </c>
      <c r="J50" s="97">
        <v>1188</v>
      </c>
      <c r="K50" s="100">
        <f t="shared" si="97"/>
        <v>39.33</v>
      </c>
      <c r="L50" s="100">
        <f t="shared" si="97"/>
        <v>865</v>
      </c>
      <c r="M50" s="103">
        <v>18.3</v>
      </c>
      <c r="N50" s="104">
        <v>1001.56</v>
      </c>
      <c r="O50" s="92">
        <v>25</v>
      </c>
      <c r="P50" s="92">
        <v>650</v>
      </c>
      <c r="Q50" s="108">
        <f t="shared" si="35"/>
        <v>6.6999999999999993</v>
      </c>
      <c r="R50" s="108">
        <f t="shared" si="35"/>
        <v>-351.55999999999995</v>
      </c>
      <c r="S50" s="80">
        <v>59.9</v>
      </c>
      <c r="T50" s="80">
        <v>1957.94</v>
      </c>
      <c r="U50" s="94">
        <v>24.21</v>
      </c>
      <c r="V50" s="94">
        <v>1325.02</v>
      </c>
      <c r="W50" s="101">
        <v>50</v>
      </c>
      <c r="X50" s="101">
        <v>1300</v>
      </c>
      <c r="Y50" s="112">
        <f t="shared" si="96"/>
        <v>25.79</v>
      </c>
      <c r="Z50" s="112">
        <f t="shared" si="95"/>
        <v>-25.019999999999982</v>
      </c>
      <c r="AA50" s="78">
        <f t="shared" si="98"/>
        <v>35.69</v>
      </c>
      <c r="AB50" s="78">
        <f t="shared" si="98"/>
        <v>632.92000000000007</v>
      </c>
      <c r="AC50" s="94"/>
      <c r="AD50" s="94"/>
      <c r="AE50" s="129">
        <v>25</v>
      </c>
      <c r="AF50" s="129">
        <v>650</v>
      </c>
      <c r="AG50" s="112">
        <f t="shared" si="83"/>
        <v>25</v>
      </c>
      <c r="AH50" s="112">
        <f t="shared" si="84"/>
        <v>650</v>
      </c>
      <c r="AI50" s="94">
        <f t="shared" si="85"/>
        <v>24.21</v>
      </c>
      <c r="AJ50" s="94">
        <f t="shared" si="86"/>
        <v>1325.02</v>
      </c>
      <c r="AK50" s="128">
        <f t="shared" si="87"/>
        <v>75</v>
      </c>
      <c r="AL50" s="128">
        <f t="shared" si="88"/>
        <v>1950</v>
      </c>
      <c r="AM50" s="112">
        <f t="shared" si="89"/>
        <v>50.79</v>
      </c>
      <c r="AN50" s="112">
        <f t="shared" si="90"/>
        <v>624.98</v>
      </c>
      <c r="AO50" s="94">
        <v>13.98</v>
      </c>
      <c r="AP50" s="94">
        <v>363.06</v>
      </c>
      <c r="AQ50" s="129">
        <v>25</v>
      </c>
      <c r="AR50" s="129">
        <v>650</v>
      </c>
      <c r="AS50" s="112">
        <f t="shared" si="91"/>
        <v>11.02</v>
      </c>
      <c r="AT50" s="112">
        <f t="shared" si="92"/>
        <v>286.94</v>
      </c>
      <c r="AU50" s="94">
        <v>38.19</v>
      </c>
      <c r="AV50" s="94">
        <v>1688.08</v>
      </c>
      <c r="AW50" s="128">
        <v>100</v>
      </c>
      <c r="AX50" s="128">
        <v>2600</v>
      </c>
      <c r="AY50" s="112">
        <f t="shared" si="93"/>
        <v>61.81</v>
      </c>
      <c r="AZ50" s="231">
        <f t="shared" si="94"/>
        <v>911.92000000000007</v>
      </c>
      <c r="BA50" s="216">
        <v>122.5</v>
      </c>
    </row>
    <row r="51" spans="1:53" ht="16.5" thickBot="1" x14ac:dyDescent="0.3">
      <c r="A51" s="327" t="s">
        <v>54</v>
      </c>
      <c r="B51" s="328"/>
      <c r="C51" s="82">
        <v>427</v>
      </c>
      <c r="D51" s="83">
        <v>10645</v>
      </c>
      <c r="E51" s="90">
        <v>450</v>
      </c>
      <c r="F51" s="90">
        <v>11450</v>
      </c>
      <c r="G51" s="94">
        <f t="shared" si="32"/>
        <v>23</v>
      </c>
      <c r="H51" s="94">
        <f t="shared" si="33"/>
        <v>805</v>
      </c>
      <c r="I51" s="97">
        <v>393</v>
      </c>
      <c r="J51" s="97">
        <v>9424.14</v>
      </c>
      <c r="K51" s="100">
        <f t="shared" si="97"/>
        <v>-34</v>
      </c>
      <c r="L51" s="100">
        <f t="shared" si="97"/>
        <v>-1220.8600000000006</v>
      </c>
      <c r="M51" s="103">
        <v>462</v>
      </c>
      <c r="N51" s="104">
        <v>11517.66</v>
      </c>
      <c r="O51" s="92">
        <v>450</v>
      </c>
      <c r="P51" s="92">
        <v>11450</v>
      </c>
      <c r="Q51" s="108">
        <f t="shared" si="35"/>
        <v>-12</v>
      </c>
      <c r="R51" s="108">
        <f t="shared" si="35"/>
        <v>-67.659999999999854</v>
      </c>
      <c r="S51" s="80">
        <v>804</v>
      </c>
      <c r="T51" s="80">
        <v>19279.14</v>
      </c>
      <c r="U51" s="94">
        <v>393</v>
      </c>
      <c r="V51" s="94">
        <v>9424.14</v>
      </c>
      <c r="W51" s="101">
        <v>900</v>
      </c>
      <c r="X51" s="101">
        <v>22900</v>
      </c>
      <c r="Y51" s="112">
        <f t="shared" si="96"/>
        <v>507</v>
      </c>
      <c r="Z51" s="112">
        <f t="shared" si="95"/>
        <v>13475.86</v>
      </c>
      <c r="AA51" s="78">
        <f t="shared" si="98"/>
        <v>411</v>
      </c>
      <c r="AB51" s="78">
        <f t="shared" si="98"/>
        <v>9855</v>
      </c>
      <c r="AC51" s="94">
        <v>379</v>
      </c>
      <c r="AD51" s="94">
        <v>9842.6299999999992</v>
      </c>
      <c r="AE51" s="129">
        <v>450</v>
      </c>
      <c r="AF51" s="129">
        <v>11450</v>
      </c>
      <c r="AG51" s="112">
        <f t="shared" si="83"/>
        <v>71</v>
      </c>
      <c r="AH51" s="112">
        <f t="shared" si="84"/>
        <v>1607.3700000000008</v>
      </c>
      <c r="AI51" s="94">
        <f t="shared" si="85"/>
        <v>772</v>
      </c>
      <c r="AJ51" s="94">
        <f t="shared" si="86"/>
        <v>19266.769999999997</v>
      </c>
      <c r="AK51" s="128">
        <f t="shared" si="87"/>
        <v>1350</v>
      </c>
      <c r="AL51" s="128">
        <f t="shared" si="88"/>
        <v>34350</v>
      </c>
      <c r="AM51" s="112">
        <f t="shared" si="89"/>
        <v>578</v>
      </c>
      <c r="AN51" s="112">
        <f t="shared" si="90"/>
        <v>15083.230000000003</v>
      </c>
      <c r="AO51" s="94">
        <v>486</v>
      </c>
      <c r="AP51" s="94">
        <v>12620</v>
      </c>
      <c r="AQ51" s="129">
        <v>450</v>
      </c>
      <c r="AR51" s="129">
        <v>11450</v>
      </c>
      <c r="AS51" s="112">
        <f t="shared" si="91"/>
        <v>-36</v>
      </c>
      <c r="AT51" s="112">
        <f t="shared" si="92"/>
        <v>-1170</v>
      </c>
      <c r="AU51" s="94">
        <v>1258</v>
      </c>
      <c r="AV51" s="94">
        <v>31886.77</v>
      </c>
      <c r="AW51" s="128">
        <v>1800</v>
      </c>
      <c r="AX51" s="128">
        <v>45800</v>
      </c>
      <c r="AY51" s="112">
        <f t="shared" si="93"/>
        <v>542</v>
      </c>
      <c r="AZ51" s="231">
        <f t="shared" si="94"/>
        <v>13913.23</v>
      </c>
      <c r="BA51" s="216">
        <v>1614</v>
      </c>
    </row>
    <row r="52" spans="1:53" ht="16.5" thickBot="1" x14ac:dyDescent="0.3">
      <c r="A52" s="327" t="s">
        <v>171</v>
      </c>
      <c r="B52" s="328"/>
      <c r="C52" s="82"/>
      <c r="D52" s="83"/>
      <c r="E52" s="90">
        <v>2.5</v>
      </c>
      <c r="F52" s="90">
        <v>100</v>
      </c>
      <c r="G52" s="94">
        <f t="shared" si="32"/>
        <v>2.5</v>
      </c>
      <c r="H52" s="94">
        <f t="shared" si="33"/>
        <v>100</v>
      </c>
      <c r="I52" s="97"/>
      <c r="J52" s="97"/>
      <c r="K52" s="100">
        <f t="shared" si="97"/>
        <v>0</v>
      </c>
      <c r="L52" s="100">
        <f t="shared" si="97"/>
        <v>0</v>
      </c>
      <c r="M52" s="103"/>
      <c r="N52" s="104"/>
      <c r="O52" s="92">
        <v>2.5</v>
      </c>
      <c r="P52" s="92">
        <v>100</v>
      </c>
      <c r="Q52" s="108">
        <f t="shared" si="35"/>
        <v>2.5</v>
      </c>
      <c r="R52" s="108">
        <f t="shared" si="35"/>
        <v>100</v>
      </c>
      <c r="S52" s="80" t="s">
        <v>130</v>
      </c>
      <c r="T52" s="80"/>
      <c r="U52" s="94"/>
      <c r="V52" s="94"/>
      <c r="W52" s="101">
        <v>5</v>
      </c>
      <c r="X52" s="101">
        <v>200</v>
      </c>
      <c r="Y52" s="112">
        <f t="shared" si="96"/>
        <v>5</v>
      </c>
      <c r="Z52" s="112">
        <f t="shared" si="95"/>
        <v>200</v>
      </c>
      <c r="AA52" s="78"/>
      <c r="AB52" s="78">
        <f t="shared" si="98"/>
        <v>0</v>
      </c>
      <c r="AC52" s="94"/>
      <c r="AD52" s="94"/>
      <c r="AE52" s="129">
        <v>2.5</v>
      </c>
      <c r="AF52" s="129">
        <v>100</v>
      </c>
      <c r="AG52" s="112">
        <f t="shared" si="83"/>
        <v>2.5</v>
      </c>
      <c r="AH52" s="112">
        <f t="shared" si="84"/>
        <v>100</v>
      </c>
      <c r="AI52" s="94">
        <f t="shared" si="85"/>
        <v>0</v>
      </c>
      <c r="AJ52" s="94">
        <f t="shared" si="86"/>
        <v>0</v>
      </c>
      <c r="AK52" s="128">
        <f t="shared" si="87"/>
        <v>7.5</v>
      </c>
      <c r="AL52" s="128">
        <f t="shared" si="88"/>
        <v>300</v>
      </c>
      <c r="AM52" s="112">
        <f t="shared" si="89"/>
        <v>7.5</v>
      </c>
      <c r="AN52" s="112">
        <f t="shared" si="90"/>
        <v>300</v>
      </c>
      <c r="AO52" s="94"/>
      <c r="AP52" s="94"/>
      <c r="AQ52" s="129">
        <v>2.5</v>
      </c>
      <c r="AR52" s="129">
        <v>100</v>
      </c>
      <c r="AS52" s="112">
        <f t="shared" si="91"/>
        <v>2.5</v>
      </c>
      <c r="AT52" s="112">
        <f t="shared" si="92"/>
        <v>100</v>
      </c>
      <c r="AU52" s="94"/>
      <c r="AV52" s="94"/>
      <c r="AW52" s="128">
        <v>10</v>
      </c>
      <c r="AX52" s="128">
        <v>400</v>
      </c>
      <c r="AY52" s="112">
        <f t="shared" si="93"/>
        <v>10</v>
      </c>
      <c r="AZ52" s="231">
        <f t="shared" si="94"/>
        <v>400</v>
      </c>
      <c r="BA52" s="216">
        <v>0</v>
      </c>
    </row>
    <row r="53" spans="1:53" s="36" customFormat="1" ht="16.5" thickBot="1" x14ac:dyDescent="0.3">
      <c r="A53" s="326" t="s">
        <v>170</v>
      </c>
      <c r="B53" s="326"/>
      <c r="C53" s="133">
        <f>C20+C31+C44+C45+C46+C47+C48+C49+C50+C51+C52</f>
        <v>3069.0399999999995</v>
      </c>
      <c r="D53" s="133">
        <f>D20+D31+D44+D45+D46+D47+D48+D49+D50+D51+D52</f>
        <v>83549.06</v>
      </c>
      <c r="E53" s="133">
        <f>E20+E31+E44+E45+E46+E47+E48+E49+E50+E51+E52</f>
        <v>3297.35</v>
      </c>
      <c r="F53" s="133">
        <f>SUM(F20+F31+F44+F45+F46+F47+F48+F49+F50+F51+F52)</f>
        <v>83973</v>
      </c>
      <c r="G53" s="133">
        <f t="shared" si="32"/>
        <v>228.3100000000004</v>
      </c>
      <c r="H53" s="133">
        <f t="shared" si="33"/>
        <v>423.94000000000233</v>
      </c>
      <c r="I53" s="133">
        <f>I20+I31+I44+I45+I46+I47+I48+I49+I50+I51+I52</f>
        <v>2865.52</v>
      </c>
      <c r="J53" s="133">
        <f>J20+J31+J44+J45+J46+J47+J48+J49+J50+J51+J52</f>
        <v>71487.14999999998</v>
      </c>
      <c r="K53" s="133">
        <f t="shared" si="97"/>
        <v>-203.51999999999953</v>
      </c>
      <c r="L53" s="133">
        <f t="shared" si="97"/>
        <v>-12061.910000000018</v>
      </c>
      <c r="M53" s="133">
        <f>M20+M31+M44+M45+M46+M47+M48+M49+M50+M51+M52</f>
        <v>3180.42</v>
      </c>
      <c r="N53" s="133">
        <f>N20+N31+N44+N45+N46+N47+N48+N49+N50+N51+N52</f>
        <v>79892.180000000008</v>
      </c>
      <c r="O53" s="133">
        <f>O20+O31+O44+O45+O46+O47+O48+O49+O50+O51+O52</f>
        <v>3297.35</v>
      </c>
      <c r="P53" s="133">
        <f>SUM(P20+P31+P44+P45+P46+P47+P48+P49+P50+P51+P52)</f>
        <v>83973</v>
      </c>
      <c r="Q53" s="133">
        <f t="shared" si="35"/>
        <v>116.92999999999984</v>
      </c>
      <c r="R53" s="133">
        <f t="shared" si="35"/>
        <v>4080.8199999999924</v>
      </c>
      <c r="S53" s="133">
        <v>6172.32</v>
      </c>
      <c r="T53" s="133">
        <v>153514.03</v>
      </c>
      <c r="U53" s="133">
        <f>U20+U31+U44+U45+U46+U47+U48+U49+U50+U51+U52</f>
        <v>5805.72</v>
      </c>
      <c r="V53" s="133">
        <f>V20+V31+V44+V45+V46+V47+V48+V49+V50+V51+V52</f>
        <v>152804.03999999998</v>
      </c>
      <c r="W53" s="133">
        <f>W20+W31+W44+W45+W46+W47+W48+W49+W50+W51+W52</f>
        <v>6574.7</v>
      </c>
      <c r="X53" s="133">
        <f>X20+X31+X44+X46+X47+X48+X49+X50+X51+X52</f>
        <v>167296</v>
      </c>
      <c r="Y53" s="133">
        <f t="shared" si="96"/>
        <v>768.97999999999956</v>
      </c>
      <c r="Z53" s="133">
        <f t="shared" si="95"/>
        <v>14491.960000000021</v>
      </c>
      <c r="AA53" s="133">
        <f>S53-U53</f>
        <v>366.59999999999945</v>
      </c>
      <c r="AB53" s="133">
        <f>T53--V53</f>
        <v>306318.06999999995</v>
      </c>
      <c r="AC53" s="133">
        <f>AC20+AC31+AC44+AC45+AC46+AC47+AC48+AC49+AC50+AC51+AC52</f>
        <v>1924.0600000000002</v>
      </c>
      <c r="AD53" s="133">
        <f>AD20+AD31+AD44+AD45+AD46+AD47+AD48+AD49+AD50+AD51+AD52</f>
        <v>50056.179999999993</v>
      </c>
      <c r="AE53" s="133">
        <f>AE20+AE31+AE44+AE45+AE46+AE47+AE48+AE49+AE50+AE51+AE52</f>
        <v>3304.4250000000002</v>
      </c>
      <c r="AF53" s="133">
        <f>SUM(AF20+AF31+AF44+AF45+AF46+AF47+AF48+AF49+AF50+AF51+AF52)</f>
        <v>84148</v>
      </c>
      <c r="AG53" s="133">
        <f t="shared" ref="AG53" si="99">AE53-AC53</f>
        <v>1380.365</v>
      </c>
      <c r="AH53" s="133">
        <f t="shared" ref="AH53" si="100">AF53-AD53</f>
        <v>34091.820000000007</v>
      </c>
      <c r="AI53" s="133">
        <f>AI20+AI31+AI44+AI45+AI46+AI47+AI48+AI49+AI50+AI51+AI52</f>
        <v>7521.3600000000006</v>
      </c>
      <c r="AJ53" s="133">
        <f>AJ20+AJ31+AJ44+AJ45+AJ46+AJ47+AJ48+AJ49+AJ50+AJ51+AJ52</f>
        <v>197520.94</v>
      </c>
      <c r="AK53" s="133">
        <f>AK20+AK31+AK44+AK45+AK46+AK47+AK48+AK49+AK50+AK51+AK52</f>
        <v>9633.625</v>
      </c>
      <c r="AL53" s="133">
        <f>SUM(AL20+AL31+AL44+AL45+AL46+AL47+AL48+AL49+AL50+AL51+AL52)</f>
        <v>245594</v>
      </c>
      <c r="AM53" s="133">
        <f t="shared" si="89"/>
        <v>2112.2649999999994</v>
      </c>
      <c r="AN53" s="133">
        <f t="shared" si="90"/>
        <v>48073.06</v>
      </c>
      <c r="AO53" s="133">
        <f>AO20+AO31+AO44+AO45+AO46+AO47+AO48+AO49+AO50+AO51+AO52</f>
        <v>2742.54</v>
      </c>
      <c r="AP53" s="133">
        <f>AP20+AP31+AP44+AP45+AP46+AP47+AP48+AP49+AP50+AP51+AP52</f>
        <v>72513.22</v>
      </c>
      <c r="AQ53" s="133">
        <f>AQ20+AQ31+AQ44+AQ45+AQ46+AQ47+AQ48+AQ49+AQ50+AQ51+AQ52</f>
        <v>3304.4250000000002</v>
      </c>
      <c r="AR53" s="133">
        <f>SUM(AR20+AR31+AR44+AR45+AR46+AR47+AR48+AR49+AR50+AR51+AR52)</f>
        <v>84148</v>
      </c>
      <c r="AS53" s="133">
        <f t="shared" si="91"/>
        <v>561.88500000000022</v>
      </c>
      <c r="AT53" s="133">
        <f t="shared" si="92"/>
        <v>11634.779999999999</v>
      </c>
      <c r="AU53" s="133">
        <f>AU20+AU31+AU44+AU45+AU46+AU47+AU48+AU49+AU50+AU51+AU52</f>
        <v>9941.5500000000011</v>
      </c>
      <c r="AV53" s="133">
        <f>AV20+AV31+AV44+AV45+AV46+AV47+AV48+AV49+AV50+AV51+AV52</f>
        <v>266732.53000000003</v>
      </c>
      <c r="AW53" s="133">
        <f>AW20+AW31+AW44+AW45+AW46+AW47+AW48+AW49+AW50+AW51+AW52</f>
        <v>12957.7</v>
      </c>
      <c r="AX53" s="133">
        <f>SUM(AX20+AX31+AX44+AX45+AX46+AX47+AX48+AX49+AX50+AX51+AX52)</f>
        <v>340080</v>
      </c>
      <c r="AY53" s="133">
        <f t="shared" si="93"/>
        <v>3016.1499999999996</v>
      </c>
      <c r="AZ53" s="232">
        <f t="shared" si="94"/>
        <v>73347.469999999972</v>
      </c>
      <c r="BA53" s="217">
        <v>12497.07</v>
      </c>
    </row>
    <row r="55" spans="1:53" x14ac:dyDescent="0.25">
      <c r="A55" s="2" t="s">
        <v>8</v>
      </c>
      <c r="B55" s="2"/>
      <c r="C55" s="2"/>
      <c r="D55" s="2"/>
      <c r="E55" s="2"/>
      <c r="F55" s="2"/>
      <c r="G55" s="2"/>
      <c r="H55" s="2"/>
      <c r="I55" s="2">
        <v>1470.9</v>
      </c>
      <c r="J55" s="2">
        <v>35272.199999999997</v>
      </c>
      <c r="M55" s="2"/>
      <c r="N55" s="2"/>
      <c r="O55" s="2"/>
      <c r="P55" s="2"/>
      <c r="Q55" s="2"/>
      <c r="R55" s="2"/>
      <c r="S55" s="2">
        <v>2921.4</v>
      </c>
      <c r="T55" s="2">
        <v>72246.83</v>
      </c>
      <c r="U55" s="2"/>
      <c r="V55" s="2"/>
      <c r="AC55" s="2"/>
      <c r="AD55" s="2"/>
      <c r="AI55" s="2"/>
      <c r="AJ55" s="2"/>
    </row>
    <row r="56" spans="1:53" x14ac:dyDescent="0.25">
      <c r="A56" s="2" t="s">
        <v>195</v>
      </c>
      <c r="B56" s="2"/>
      <c r="C56" s="2"/>
      <c r="D56" s="2"/>
      <c r="E56" s="2"/>
      <c r="F56" s="2"/>
      <c r="G56" s="2"/>
      <c r="H56" s="2"/>
      <c r="I56" s="2">
        <v>40</v>
      </c>
      <c r="J56" s="2">
        <v>1000</v>
      </c>
      <c r="M56" s="2"/>
      <c r="N56" s="2"/>
      <c r="O56" s="2"/>
      <c r="P56" s="2"/>
      <c r="Q56" s="2"/>
      <c r="R56" s="2"/>
      <c r="S56" s="2">
        <v>81</v>
      </c>
      <c r="T56" s="2">
        <v>2100</v>
      </c>
      <c r="U56" s="2"/>
      <c r="V56" s="2"/>
      <c r="AC56" s="2"/>
      <c r="AD56" s="2"/>
      <c r="AI56" s="2"/>
      <c r="AJ56" s="2"/>
    </row>
    <row r="57" spans="1:53" x14ac:dyDescent="0.25">
      <c r="A57" s="2" t="s">
        <v>108</v>
      </c>
      <c r="B57" s="2"/>
      <c r="C57" s="2"/>
      <c r="D57" s="2"/>
      <c r="E57" s="2"/>
      <c r="F57" s="2"/>
      <c r="G57" s="2"/>
      <c r="H57" s="2"/>
      <c r="I57" s="2">
        <f>SUM(I55:I56)</f>
        <v>1510.9</v>
      </c>
      <c r="J57" s="2">
        <f>SUM(J55:J56)</f>
        <v>36272.199999999997</v>
      </c>
      <c r="M57" s="2"/>
      <c r="N57" s="2"/>
      <c r="O57" s="2"/>
      <c r="P57" s="2"/>
      <c r="Q57" s="2"/>
      <c r="R57" s="2"/>
      <c r="S57" s="2">
        <f>SUM(S55:S56)</f>
        <v>3002.4</v>
      </c>
      <c r="T57" s="2">
        <f>SUM(T55:T56)</f>
        <v>74346.83</v>
      </c>
      <c r="U57" s="2"/>
      <c r="V57" s="2"/>
      <c r="AC57" s="2"/>
      <c r="AD57" s="2"/>
      <c r="AI57" s="2"/>
      <c r="AJ57" s="2"/>
    </row>
    <row r="58" spans="1:53" x14ac:dyDescent="0.25">
      <c r="A58" s="2" t="s">
        <v>185</v>
      </c>
      <c r="B58" s="2"/>
      <c r="C58" s="2"/>
      <c r="D58" s="2"/>
      <c r="E58" s="2"/>
      <c r="F58" s="2"/>
      <c r="G58" s="2"/>
      <c r="H58" s="2"/>
      <c r="I58" s="2">
        <v>4376.42</v>
      </c>
      <c r="J58" s="2">
        <v>107759.35</v>
      </c>
      <c r="M58" s="2"/>
      <c r="N58" s="2"/>
      <c r="O58" s="2"/>
      <c r="P58" s="2"/>
      <c r="Q58" s="2"/>
      <c r="R58" s="2"/>
      <c r="S58" s="2">
        <v>9174.7199999999993</v>
      </c>
      <c r="T58" s="2">
        <v>227860.9</v>
      </c>
      <c r="U58" s="2"/>
      <c r="V58" s="2"/>
      <c r="AC58" s="2"/>
      <c r="AD58" s="2"/>
      <c r="AI58" s="2"/>
      <c r="AJ58" s="2"/>
    </row>
  </sheetData>
  <mergeCells count="73">
    <mergeCell ref="AG2:AH2"/>
    <mergeCell ref="AI2:AJ2"/>
    <mergeCell ref="AK2:AL2"/>
    <mergeCell ref="AM2:AN2"/>
    <mergeCell ref="I2:J2"/>
    <mergeCell ref="K2:L2"/>
    <mergeCell ref="M2:N2"/>
    <mergeCell ref="O2:P2"/>
    <mergeCell ref="Q2:R2"/>
    <mergeCell ref="S2:T2"/>
    <mergeCell ref="U2:V2"/>
    <mergeCell ref="AC2:AD2"/>
    <mergeCell ref="AE2:AF2"/>
    <mergeCell ref="W2:X2"/>
    <mergeCell ref="Y2:Z2"/>
    <mergeCell ref="AA2:AB2"/>
    <mergeCell ref="A10:B10"/>
    <mergeCell ref="A5:B5"/>
    <mergeCell ref="A6:B6"/>
    <mergeCell ref="A7:B7"/>
    <mergeCell ref="A8:B8"/>
    <mergeCell ref="A9:B9"/>
    <mergeCell ref="A4:B4"/>
    <mergeCell ref="A2:B3"/>
    <mergeCell ref="C2:D2"/>
    <mergeCell ref="E2:F2"/>
    <mergeCell ref="G2:H2"/>
    <mergeCell ref="A19:B19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1:B21"/>
    <mergeCell ref="A22:B22"/>
    <mergeCell ref="A23:B23"/>
    <mergeCell ref="A24:B24"/>
    <mergeCell ref="A25:B25"/>
    <mergeCell ref="A40:B40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53:B53"/>
    <mergeCell ref="A41:B41"/>
    <mergeCell ref="A42:B42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Y2:AZ2"/>
    <mergeCell ref="AO2:AP2"/>
    <mergeCell ref="AQ2:AR2"/>
    <mergeCell ref="AS2:AT2"/>
    <mergeCell ref="AU2:AV2"/>
    <mergeCell ref="AW2:AX2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дрова</vt:lpstr>
      <vt:lpstr>электро</vt:lpstr>
      <vt:lpstr>тепло</vt:lpstr>
      <vt:lpstr>вода</vt:lpstr>
      <vt:lpstr>электро!Область_печати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2015-02-09T10:41:57Z</dcterms:modified>
</cp:coreProperties>
</file>